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ater\Downloads\"/>
    </mc:Choice>
  </mc:AlternateContent>
  <xr:revisionPtr revIDLastSave="0" documentId="13_ncr:1_{D1290002-2764-4826-82D7-4E1E59751C1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Jadłospis" sheetId="1" r:id="rId1"/>
    <sheet name="Wycena" sheetId="2" r:id="rId2"/>
    <sheet name="Składniki" sheetId="3" r:id="rId3"/>
    <sheet name="Receptura naleśników" sheetId="4" r:id="rId4"/>
    <sheet name="Lista zakupów" sheetId="5" r:id="rId5"/>
    <sheet name="Kontrola składów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5" l="1"/>
  <c r="E55" i="5"/>
  <c r="D55" i="5"/>
  <c r="C55" i="5"/>
  <c r="G54" i="5"/>
  <c r="F54" i="5"/>
  <c r="E54" i="5"/>
  <c r="D54" i="5"/>
  <c r="C54" i="5"/>
  <c r="H54" i="5" s="1"/>
  <c r="G53" i="5"/>
  <c r="F53" i="5"/>
  <c r="E53" i="5"/>
  <c r="C53" i="5"/>
  <c r="G52" i="5"/>
  <c r="F52" i="5"/>
  <c r="E52" i="5"/>
  <c r="D52" i="5"/>
  <c r="C52" i="5"/>
  <c r="H52" i="5" s="1"/>
  <c r="G51" i="5"/>
  <c r="F51" i="5"/>
  <c r="E51" i="5"/>
  <c r="D51" i="5"/>
  <c r="C51" i="5"/>
  <c r="H51" i="5" s="1"/>
  <c r="G50" i="5"/>
  <c r="F50" i="5"/>
  <c r="E50" i="5"/>
  <c r="D50" i="5"/>
  <c r="C50" i="5"/>
  <c r="H50" i="5" s="1"/>
  <c r="G49" i="5"/>
  <c r="F49" i="5"/>
  <c r="E49" i="5"/>
  <c r="D49" i="5"/>
  <c r="C49" i="5"/>
  <c r="H49" i="5" s="1"/>
  <c r="G48" i="5"/>
  <c r="F48" i="5"/>
  <c r="E48" i="5"/>
  <c r="D48" i="5"/>
  <c r="C48" i="5"/>
  <c r="H48" i="5" s="1"/>
  <c r="G47" i="5"/>
  <c r="F47" i="5"/>
  <c r="E47" i="5"/>
  <c r="D47" i="5"/>
  <c r="C47" i="5"/>
  <c r="H47" i="5" s="1"/>
  <c r="G46" i="5"/>
  <c r="F46" i="5"/>
  <c r="E46" i="5"/>
  <c r="D46" i="5"/>
  <c r="C46" i="5"/>
  <c r="H46" i="5" s="1"/>
  <c r="G45" i="5"/>
  <c r="F45" i="5"/>
  <c r="E45" i="5"/>
  <c r="D45" i="5"/>
  <c r="C45" i="5"/>
  <c r="H45" i="5" s="1"/>
  <c r="G44" i="5"/>
  <c r="F44" i="5"/>
  <c r="E44" i="5"/>
  <c r="D44" i="5"/>
  <c r="C44" i="5"/>
  <c r="H44" i="5" s="1"/>
  <c r="G43" i="5"/>
  <c r="E43" i="5"/>
  <c r="D43" i="5"/>
  <c r="C43" i="5"/>
  <c r="G42" i="5"/>
  <c r="F42" i="5"/>
  <c r="E42" i="5"/>
  <c r="D42" i="5"/>
  <c r="C42" i="5"/>
  <c r="H42" i="5" s="1"/>
  <c r="G41" i="5"/>
  <c r="F41" i="5"/>
  <c r="E41" i="5"/>
  <c r="D41" i="5"/>
  <c r="C41" i="5"/>
  <c r="H41" i="5" s="1"/>
  <c r="G40" i="5"/>
  <c r="F40" i="5"/>
  <c r="E40" i="5"/>
  <c r="D40" i="5"/>
  <c r="C40" i="5"/>
  <c r="H40" i="5" s="1"/>
  <c r="G39" i="5"/>
  <c r="F39" i="5"/>
  <c r="E39" i="5"/>
  <c r="D39" i="5"/>
  <c r="C39" i="5"/>
  <c r="H39" i="5" s="1"/>
  <c r="G38" i="5"/>
  <c r="F38" i="5"/>
  <c r="E38" i="5"/>
  <c r="D38" i="5"/>
  <c r="C38" i="5"/>
  <c r="H38" i="5" s="1"/>
  <c r="G37" i="5"/>
  <c r="F37" i="5"/>
  <c r="E37" i="5"/>
  <c r="D37" i="5"/>
  <c r="C37" i="5"/>
  <c r="H37" i="5" s="1"/>
  <c r="G36" i="5"/>
  <c r="F36" i="5"/>
  <c r="E36" i="5"/>
  <c r="D36" i="5"/>
  <c r="C36" i="5"/>
  <c r="H36" i="5" s="1"/>
  <c r="G35" i="5"/>
  <c r="F35" i="5"/>
  <c r="E35" i="5"/>
  <c r="D35" i="5"/>
  <c r="C35" i="5"/>
  <c r="H35" i="5" s="1"/>
  <c r="G34" i="5"/>
  <c r="F34" i="5"/>
  <c r="D34" i="5"/>
  <c r="C34" i="5"/>
  <c r="G33" i="5"/>
  <c r="F33" i="5"/>
  <c r="E33" i="5"/>
  <c r="D33" i="5"/>
  <c r="C33" i="5"/>
  <c r="H33" i="5" s="1"/>
  <c r="G32" i="5"/>
  <c r="F32" i="5"/>
  <c r="E32" i="5"/>
  <c r="D32" i="5"/>
  <c r="C32" i="5"/>
  <c r="H32" i="5" s="1"/>
  <c r="G31" i="5"/>
  <c r="H60" i="5" s="1"/>
  <c r="F31" i="5"/>
  <c r="E31" i="5"/>
  <c r="H59" i="5" s="1"/>
  <c r="D31" i="5"/>
  <c r="H58" i="5" s="1"/>
  <c r="C31" i="5"/>
  <c r="H31" i="5" s="1"/>
  <c r="G30" i="5"/>
  <c r="F30" i="5"/>
  <c r="E30" i="5"/>
  <c r="D30" i="5"/>
  <c r="C30" i="5"/>
  <c r="H30" i="5" s="1"/>
  <c r="G29" i="5"/>
  <c r="F29" i="5"/>
  <c r="E29" i="5"/>
  <c r="D29" i="5"/>
  <c r="C29" i="5"/>
  <c r="H29" i="5" s="1"/>
  <c r="G28" i="5"/>
  <c r="F28" i="5"/>
  <c r="E28" i="5"/>
  <c r="D28" i="5"/>
  <c r="C28" i="5"/>
  <c r="H28" i="5" s="1"/>
  <c r="G27" i="5"/>
  <c r="F27" i="5"/>
  <c r="E27" i="5"/>
  <c r="D27" i="5"/>
  <c r="C27" i="5"/>
  <c r="H27" i="5" s="1"/>
  <c r="G26" i="5"/>
  <c r="F26" i="5"/>
  <c r="D26" i="5"/>
  <c r="C26" i="5"/>
  <c r="E25" i="5"/>
  <c r="D25" i="5"/>
  <c r="C25" i="5"/>
  <c r="G24" i="5"/>
  <c r="F24" i="5"/>
  <c r="E24" i="5"/>
  <c r="D24" i="5"/>
  <c r="C24" i="5"/>
  <c r="H24" i="5" s="1"/>
  <c r="G23" i="5"/>
  <c r="F23" i="5"/>
  <c r="E23" i="5"/>
  <c r="D23" i="5"/>
  <c r="C23" i="5"/>
  <c r="H23" i="5" s="1"/>
  <c r="G22" i="5"/>
  <c r="F22" i="5"/>
  <c r="E22" i="5"/>
  <c r="D22" i="5"/>
  <c r="C22" i="5"/>
  <c r="H22" i="5" s="1"/>
  <c r="G21" i="5"/>
  <c r="F21" i="5"/>
  <c r="E21" i="5"/>
  <c r="D21" i="5"/>
  <c r="C21" i="5"/>
  <c r="H21" i="5" s="1"/>
  <c r="G20" i="5"/>
  <c r="F20" i="5"/>
  <c r="D20" i="5"/>
  <c r="C20" i="5"/>
  <c r="G19" i="5"/>
  <c r="F19" i="5"/>
  <c r="E19" i="5"/>
  <c r="D19" i="5"/>
  <c r="C19" i="5"/>
  <c r="H19" i="5" s="1"/>
  <c r="G18" i="5"/>
  <c r="F18" i="5"/>
  <c r="E18" i="5"/>
  <c r="D18" i="5"/>
  <c r="C18" i="5"/>
  <c r="H18" i="5" s="1"/>
  <c r="F17" i="5"/>
  <c r="E17" i="5"/>
  <c r="D17" i="5"/>
  <c r="C17" i="5"/>
  <c r="G16" i="5"/>
  <c r="E16" i="5"/>
  <c r="D16" i="5"/>
  <c r="C16" i="5"/>
  <c r="G15" i="5"/>
  <c r="F15" i="5"/>
  <c r="E15" i="5"/>
  <c r="D15" i="5"/>
  <c r="C15" i="5"/>
  <c r="H15" i="5" s="1"/>
  <c r="G14" i="5"/>
  <c r="F14" i="5"/>
  <c r="D14" i="5"/>
  <c r="C14" i="5"/>
  <c r="G13" i="5"/>
  <c r="F13" i="5"/>
  <c r="E13" i="5"/>
  <c r="D13" i="5"/>
  <c r="C13" i="5"/>
  <c r="H13" i="5" s="1"/>
  <c r="G12" i="5"/>
  <c r="F12" i="5"/>
  <c r="E12" i="5"/>
  <c r="D12" i="5"/>
  <c r="C12" i="5"/>
  <c r="H12" i="5" s="1"/>
  <c r="G11" i="5"/>
  <c r="F11" i="5"/>
  <c r="E11" i="5"/>
  <c r="D11" i="5"/>
  <c r="C11" i="5"/>
  <c r="H11" i="5" s="1"/>
  <c r="G10" i="5"/>
  <c r="F10" i="5"/>
  <c r="E10" i="5"/>
  <c r="D10" i="5"/>
  <c r="C10" i="5"/>
  <c r="H10" i="5" s="1"/>
  <c r="G9" i="5"/>
  <c r="F9" i="5"/>
  <c r="E9" i="5"/>
  <c r="D9" i="5"/>
  <c r="C9" i="5"/>
  <c r="H9" i="5" s="1"/>
  <c r="G8" i="5"/>
  <c r="F8" i="5"/>
  <c r="E8" i="5"/>
  <c r="D8" i="5"/>
  <c r="C8" i="5"/>
  <c r="H8" i="5" s="1"/>
  <c r="G7" i="5"/>
  <c r="F7" i="5"/>
  <c r="E7" i="5"/>
  <c r="D7" i="5"/>
  <c r="C7" i="5"/>
  <c r="J3" i="5"/>
  <c r="H3" i="5"/>
  <c r="F3" i="5"/>
  <c r="D3" i="5"/>
  <c r="B3" i="5"/>
  <c r="B14" i="4"/>
  <c r="D13" i="4"/>
  <c r="B13" i="4"/>
  <c r="D12" i="4"/>
  <c r="B12" i="4"/>
  <c r="D11" i="4"/>
  <c r="B11" i="4"/>
  <c r="D10" i="4"/>
  <c r="B10" i="4"/>
  <c r="D9" i="4"/>
  <c r="B9" i="4"/>
  <c r="D8" i="4"/>
  <c r="B8" i="4" s="1"/>
  <c r="D7" i="4"/>
  <c r="B7" i="4"/>
  <c r="D6" i="4"/>
  <c r="B6" i="4"/>
  <c r="A2" i="4"/>
  <c r="M165" i="3"/>
  <c r="M164" i="3"/>
  <c r="M158" i="3"/>
  <c r="M156" i="3"/>
  <c r="M155" i="3"/>
  <c r="G155" i="3"/>
  <c r="E155" i="3"/>
  <c r="G153" i="3"/>
  <c r="E153" i="3"/>
  <c r="M145" i="3"/>
  <c r="M143" i="3"/>
  <c r="M141" i="3"/>
  <c r="M134" i="3"/>
  <c r="M133" i="3"/>
  <c r="M135" i="3" s="1"/>
  <c r="M125" i="3"/>
  <c r="M124" i="3"/>
  <c r="G122" i="3"/>
  <c r="H122" i="3" s="1"/>
  <c r="G121" i="3"/>
  <c r="H121" i="3" s="1"/>
  <c r="G120" i="3"/>
  <c r="H120" i="3" s="1"/>
  <c r="G119" i="3"/>
  <c r="H119" i="3" s="1"/>
  <c r="M118" i="3"/>
  <c r="G118" i="3"/>
  <c r="H118" i="3" s="1"/>
  <c r="D35" i="2" s="1"/>
  <c r="G117" i="3"/>
  <c r="H117" i="3" s="1"/>
  <c r="G116" i="3"/>
  <c r="H116" i="3" s="1"/>
  <c r="G115" i="3"/>
  <c r="H115" i="3" s="1"/>
  <c r="G114" i="3"/>
  <c r="H114" i="3" s="1"/>
  <c r="G113" i="3"/>
  <c r="H113" i="3" s="1"/>
  <c r="G112" i="3"/>
  <c r="H112" i="3" s="1"/>
  <c r="M111" i="3"/>
  <c r="M112" i="3" s="1"/>
  <c r="G111" i="3"/>
  <c r="H111" i="3" s="1"/>
  <c r="G110" i="3"/>
  <c r="H110" i="3" s="1"/>
  <c r="G109" i="3"/>
  <c r="H109" i="3" s="1"/>
  <c r="G108" i="3"/>
  <c r="E108" i="3"/>
  <c r="G107" i="3"/>
  <c r="H107" i="3" s="1"/>
  <c r="G106" i="3"/>
  <c r="H106" i="3" s="1"/>
  <c r="G105" i="3"/>
  <c r="H105" i="3" s="1"/>
  <c r="G104" i="3"/>
  <c r="H104" i="3" s="1"/>
  <c r="G103" i="3"/>
  <c r="H103" i="3" s="1"/>
  <c r="M102" i="3"/>
  <c r="M103" i="3" s="1"/>
  <c r="E71" i="3" s="1"/>
  <c r="G102" i="3"/>
  <c r="H102" i="3" s="1"/>
  <c r="G101" i="3"/>
  <c r="H101" i="3" s="1"/>
  <c r="G100" i="3"/>
  <c r="H100" i="3" s="1"/>
  <c r="G99" i="3"/>
  <c r="H99" i="3" s="1"/>
  <c r="D32" i="2" s="1"/>
  <c r="G98" i="3"/>
  <c r="H98" i="3" s="1"/>
  <c r="M97" i="3"/>
  <c r="M104" i="3" s="1"/>
  <c r="G97" i="3"/>
  <c r="H97" i="3" s="1"/>
  <c r="M96" i="3"/>
  <c r="M98" i="3" s="1"/>
  <c r="G71" i="3" s="1"/>
  <c r="G96" i="3"/>
  <c r="H96" i="3" s="1"/>
  <c r="D31" i="2" s="1"/>
  <c r="G95" i="3"/>
  <c r="H95" i="3" s="1"/>
  <c r="G94" i="3"/>
  <c r="H94" i="3" s="1"/>
  <c r="G93" i="3"/>
  <c r="H93" i="3" s="1"/>
  <c r="G92" i="3"/>
  <c r="H92" i="3" s="1"/>
  <c r="H91" i="3"/>
  <c r="G91" i="3"/>
  <c r="G90" i="3"/>
  <c r="H90" i="3" s="1"/>
  <c r="G89" i="3"/>
  <c r="H89" i="3" s="1"/>
  <c r="D30" i="2" s="1"/>
  <c r="G88" i="3"/>
  <c r="H88" i="3" s="1"/>
  <c r="G87" i="3"/>
  <c r="H87" i="3" s="1"/>
  <c r="G86" i="3"/>
  <c r="H86" i="3" s="1"/>
  <c r="G85" i="3"/>
  <c r="H85" i="3" s="1"/>
  <c r="G84" i="3"/>
  <c r="H84" i="3" s="1"/>
  <c r="G83" i="3"/>
  <c r="H83" i="3" s="1"/>
  <c r="M82" i="3"/>
  <c r="G82" i="3"/>
  <c r="H82" i="3" s="1"/>
  <c r="M81" i="3"/>
  <c r="G81" i="3"/>
  <c r="E81" i="3"/>
  <c r="M80" i="3"/>
  <c r="G80" i="3"/>
  <c r="E80" i="3"/>
  <c r="M79" i="3"/>
  <c r="G79" i="3"/>
  <c r="E79" i="3"/>
  <c r="M78" i="3"/>
  <c r="G78" i="3"/>
  <c r="H78" i="3" s="1"/>
  <c r="G77" i="3"/>
  <c r="H77" i="3" s="1"/>
  <c r="G76" i="3"/>
  <c r="H76" i="3" s="1"/>
  <c r="G75" i="3"/>
  <c r="H75" i="3" s="1"/>
  <c r="D28" i="2" s="1"/>
  <c r="G74" i="3"/>
  <c r="H74" i="3" s="1"/>
  <c r="G73" i="3"/>
  <c r="H73" i="3" s="1"/>
  <c r="G72" i="3"/>
  <c r="H72" i="3" s="1"/>
  <c r="G70" i="3"/>
  <c r="H70" i="3" s="1"/>
  <c r="G69" i="3"/>
  <c r="H69" i="3" s="1"/>
  <c r="H68" i="3"/>
  <c r="G68" i="3"/>
  <c r="G67" i="3"/>
  <c r="H67" i="3" s="1"/>
  <c r="G66" i="3"/>
  <c r="E66" i="3"/>
  <c r="G65" i="3"/>
  <c r="H65" i="3" s="1"/>
  <c r="H64" i="3"/>
  <c r="G64" i="3"/>
  <c r="G63" i="3"/>
  <c r="H63" i="3" s="1"/>
  <c r="G62" i="3"/>
  <c r="H62" i="3" s="1"/>
  <c r="G61" i="3"/>
  <c r="H61" i="3" s="1"/>
  <c r="G60" i="3"/>
  <c r="H60" i="3" s="1"/>
  <c r="G59" i="3"/>
  <c r="H59" i="3" s="1"/>
  <c r="G58" i="3"/>
  <c r="H58" i="3" s="1"/>
  <c r="D25" i="2" s="1"/>
  <c r="G57" i="3"/>
  <c r="H57" i="3" s="1"/>
  <c r="G56" i="3"/>
  <c r="H56" i="3" s="1"/>
  <c r="G55" i="3"/>
  <c r="H55" i="3" s="1"/>
  <c r="G54" i="3"/>
  <c r="E54" i="3"/>
  <c r="G53" i="3"/>
  <c r="E53" i="3"/>
  <c r="G52" i="3"/>
  <c r="H52" i="3" s="1"/>
  <c r="G51" i="3"/>
  <c r="H51" i="3" s="1"/>
  <c r="G50" i="3"/>
  <c r="H50" i="3" s="1"/>
  <c r="G49" i="3"/>
  <c r="H49" i="3" s="1"/>
  <c r="G48" i="3"/>
  <c r="E48" i="3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D22" i="2" s="1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D21" i="2" s="1"/>
  <c r="G30" i="3"/>
  <c r="H30" i="3" s="1"/>
  <c r="G29" i="3"/>
  <c r="H29" i="3" s="1"/>
  <c r="G28" i="3"/>
  <c r="H28" i="3" s="1"/>
  <c r="D20" i="2" s="1"/>
  <c r="G27" i="3"/>
  <c r="H27" i="3" s="1"/>
  <c r="G26" i="3"/>
  <c r="H26" i="3" s="1"/>
  <c r="G25" i="3"/>
  <c r="H25" i="3" s="1"/>
  <c r="D19" i="2" s="1"/>
  <c r="G24" i="3"/>
  <c r="H24" i="3" s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H14" i="3"/>
  <c r="G14" i="3"/>
  <c r="G13" i="3"/>
  <c r="H13" i="3" s="1"/>
  <c r="G12" i="3"/>
  <c r="H12" i="3" s="1"/>
  <c r="G11" i="3"/>
  <c r="H11" i="3" s="1"/>
  <c r="G10" i="3"/>
  <c r="H10" i="3" s="1"/>
  <c r="G9" i="3"/>
  <c r="H9" i="3" s="1"/>
  <c r="D17" i="2" s="1"/>
  <c r="G8" i="3"/>
  <c r="H8" i="3" s="1"/>
  <c r="G7" i="3"/>
  <c r="H7" i="3" s="1"/>
  <c r="G6" i="3"/>
  <c r="H6" i="3" s="1"/>
  <c r="G5" i="3"/>
  <c r="H5" i="3" s="1"/>
  <c r="D16" i="2" s="1"/>
  <c r="B62" i="2"/>
  <c r="C51" i="2"/>
  <c r="C50" i="2"/>
  <c r="E49" i="2"/>
  <c r="A49" i="2"/>
  <c r="E48" i="2"/>
  <c r="A48" i="2"/>
  <c r="E47" i="2"/>
  <c r="A47" i="2"/>
  <c r="E46" i="2"/>
  <c r="A46" i="2"/>
  <c r="E45" i="2"/>
  <c r="A45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I54" i="5" l="1"/>
  <c r="J54" i="5"/>
  <c r="I52" i="5"/>
  <c r="J52" i="5"/>
  <c r="I51" i="5"/>
  <c r="J51" i="5"/>
  <c r="I50" i="5"/>
  <c r="J50" i="5"/>
  <c r="I49" i="5"/>
  <c r="J49" i="5"/>
  <c r="I48" i="5"/>
  <c r="J48" i="5"/>
  <c r="I47" i="5"/>
  <c r="J47" i="5"/>
  <c r="I46" i="5"/>
  <c r="J46" i="5"/>
  <c r="I45" i="5"/>
  <c r="J45" i="5"/>
  <c r="I44" i="5"/>
  <c r="J44" i="5"/>
  <c r="I42" i="5"/>
  <c r="J42" i="5"/>
  <c r="I41" i="5"/>
  <c r="J41" i="5"/>
  <c r="I40" i="5"/>
  <c r="J40" i="5"/>
  <c r="I39" i="5"/>
  <c r="J39" i="5"/>
  <c r="I38" i="5"/>
  <c r="J38" i="5"/>
  <c r="I37" i="5"/>
  <c r="J37" i="5"/>
  <c r="I36" i="5"/>
  <c r="J36" i="5"/>
  <c r="I35" i="5"/>
  <c r="J35" i="5"/>
  <c r="I33" i="5"/>
  <c r="J33" i="5"/>
  <c r="I32" i="5"/>
  <c r="J32" i="5"/>
  <c r="I31" i="5"/>
  <c r="J31" i="5"/>
  <c r="I30" i="5"/>
  <c r="J30" i="5"/>
  <c r="I29" i="5"/>
  <c r="J29" i="5"/>
  <c r="I28" i="5"/>
  <c r="J28" i="5"/>
  <c r="I27" i="5"/>
  <c r="J27" i="5"/>
  <c r="I24" i="5"/>
  <c r="J24" i="5"/>
  <c r="I23" i="5"/>
  <c r="J23" i="5"/>
  <c r="I22" i="5"/>
  <c r="J22" i="5"/>
  <c r="I21" i="5"/>
  <c r="J21" i="5"/>
  <c r="I19" i="5"/>
  <c r="J19" i="5"/>
  <c r="I18" i="5"/>
  <c r="J18" i="5"/>
  <c r="I15" i="5"/>
  <c r="J15" i="5"/>
  <c r="I13" i="5"/>
  <c r="J13" i="5"/>
  <c r="I12" i="5"/>
  <c r="J12" i="5"/>
  <c r="I11" i="5"/>
  <c r="J11" i="5"/>
  <c r="I10" i="5"/>
  <c r="J10" i="5"/>
  <c r="I9" i="5"/>
  <c r="J9" i="5"/>
  <c r="I8" i="5"/>
  <c r="J8" i="5"/>
  <c r="J7" i="5"/>
  <c r="H7" i="5"/>
  <c r="I7" i="5" s="1"/>
  <c r="H155" i="3"/>
  <c r="D34" i="2" s="1"/>
  <c r="G55" i="5"/>
  <c r="H55" i="5" s="1"/>
  <c r="G17" i="5"/>
  <c r="H17" i="5" s="1"/>
  <c r="H153" i="3"/>
  <c r="E35" i="2"/>
  <c r="F35" i="2"/>
  <c r="E34" i="2"/>
  <c r="F34" i="2"/>
  <c r="G25" i="5"/>
  <c r="H108" i="3"/>
  <c r="D33" i="2" s="1"/>
  <c r="E33" i="2"/>
  <c r="F33" i="2" s="1"/>
  <c r="H71" i="3"/>
  <c r="D27" i="2" s="1"/>
  <c r="E34" i="5"/>
  <c r="H34" i="5" s="1"/>
  <c r="E32" i="2"/>
  <c r="F32" i="2" s="1"/>
  <c r="E31" i="2"/>
  <c r="F31" i="2"/>
  <c r="E30" i="2"/>
  <c r="F30" i="2"/>
  <c r="F25" i="5"/>
  <c r="H25" i="5" s="1"/>
  <c r="H81" i="3"/>
  <c r="F16" i="5"/>
  <c r="H16" i="5" s="1"/>
  <c r="H80" i="3"/>
  <c r="F43" i="5"/>
  <c r="H43" i="5" s="1"/>
  <c r="H79" i="3"/>
  <c r="D29" i="2" s="1"/>
  <c r="E28" i="2"/>
  <c r="F28" i="2"/>
  <c r="E14" i="5"/>
  <c r="H14" i="5" s="1"/>
  <c r="H66" i="3"/>
  <c r="D26" i="2" s="1"/>
  <c r="E25" i="2"/>
  <c r="F25" i="2" s="1"/>
  <c r="E26" i="5"/>
  <c r="H26" i="5" s="1"/>
  <c r="H54" i="3"/>
  <c r="M119" i="3"/>
  <c r="H53" i="3"/>
  <c r="D24" i="2" s="1"/>
  <c r="E20" i="5"/>
  <c r="H20" i="5" s="1"/>
  <c r="E24" i="2"/>
  <c r="F24" i="2"/>
  <c r="H48" i="3"/>
  <c r="D23" i="2" s="1"/>
  <c r="D53" i="5"/>
  <c r="H53" i="5" s="1"/>
  <c r="E23" i="2"/>
  <c r="F23" i="2"/>
  <c r="E22" i="2"/>
  <c r="F22" i="2" s="1"/>
  <c r="E21" i="2"/>
  <c r="F21" i="2"/>
  <c r="E20" i="2"/>
  <c r="F20" i="2"/>
  <c r="E19" i="2"/>
  <c r="F19" i="2"/>
  <c r="E17" i="2"/>
  <c r="F17" i="2"/>
  <c r="E16" i="2"/>
  <c r="F16" i="2"/>
  <c r="E51" i="2"/>
  <c r="E50" i="2"/>
  <c r="D18" i="2"/>
  <c r="I55" i="5" l="1"/>
  <c r="J55" i="5" s="1"/>
  <c r="I17" i="5"/>
  <c r="J17" i="5" s="1"/>
  <c r="E12" i="2"/>
  <c r="H35" i="2"/>
  <c r="I35" i="2"/>
  <c r="H34" i="2"/>
  <c r="I34" i="2"/>
  <c r="D12" i="2"/>
  <c r="H33" i="2"/>
  <c r="I33" i="2"/>
  <c r="C12" i="2"/>
  <c r="E27" i="2"/>
  <c r="F27" i="2"/>
  <c r="I34" i="5"/>
  <c r="J34" i="5" s="1"/>
  <c r="B12" i="2"/>
  <c r="F12" i="2" s="1"/>
  <c r="H32" i="2"/>
  <c r="I32" i="2"/>
  <c r="H31" i="2"/>
  <c r="I31" i="2"/>
  <c r="E11" i="2"/>
  <c r="H30" i="2"/>
  <c r="I30" i="2"/>
  <c r="D11" i="2"/>
  <c r="I25" i="5"/>
  <c r="J25" i="5" s="1"/>
  <c r="J16" i="5"/>
  <c r="I16" i="5"/>
  <c r="I43" i="5"/>
  <c r="J43" i="5" s="1"/>
  <c r="E29" i="2"/>
  <c r="F29" i="2"/>
  <c r="B11" i="2"/>
  <c r="H28" i="2"/>
  <c r="I28" i="2"/>
  <c r="I14" i="5"/>
  <c r="J14" i="5" s="1"/>
  <c r="E26" i="2"/>
  <c r="F26" i="2"/>
  <c r="H25" i="2"/>
  <c r="I25" i="2"/>
  <c r="C10" i="2"/>
  <c r="I26" i="5"/>
  <c r="J26" i="5" s="1"/>
  <c r="I20" i="5"/>
  <c r="J20" i="5" s="1"/>
  <c r="H24" i="2"/>
  <c r="I24" i="2"/>
  <c r="B10" i="2"/>
  <c r="I53" i="5"/>
  <c r="J53" i="5" s="1"/>
  <c r="H23" i="2"/>
  <c r="I23" i="2"/>
  <c r="E9" i="2"/>
  <c r="D9" i="2"/>
  <c r="H22" i="2"/>
  <c r="I22" i="2"/>
  <c r="H21" i="2"/>
  <c r="I21" i="2"/>
  <c r="C9" i="2"/>
  <c r="H20" i="2"/>
  <c r="I20" i="2"/>
  <c r="B9" i="2"/>
  <c r="F9" i="2" s="1"/>
  <c r="E8" i="2"/>
  <c r="H19" i="2"/>
  <c r="I19" i="2"/>
  <c r="H17" i="2"/>
  <c r="I17" i="2"/>
  <c r="C8" i="2"/>
  <c r="H16" i="2"/>
  <c r="I16" i="2"/>
  <c r="B8" i="2"/>
  <c r="E18" i="2"/>
  <c r="F18" i="2" s="1"/>
  <c r="H27" i="2" l="1"/>
  <c r="I27" i="2"/>
  <c r="E10" i="2"/>
  <c r="E13" i="2" s="1"/>
  <c r="G12" i="2"/>
  <c r="I12" i="2"/>
  <c r="J12" i="2"/>
  <c r="B49" i="2"/>
  <c r="D49" i="2" s="1"/>
  <c r="H12" i="2"/>
  <c r="C11" i="2"/>
  <c r="H29" i="2"/>
  <c r="I29" i="2"/>
  <c r="H26" i="2"/>
  <c r="I26" i="2"/>
  <c r="D10" i="2"/>
  <c r="F10" i="2" s="1"/>
  <c r="G9" i="2"/>
  <c r="J9" i="2"/>
  <c r="H9" i="2"/>
  <c r="I9" i="2"/>
  <c r="B46" i="2"/>
  <c r="D46" i="2" s="1"/>
  <c r="B13" i="2"/>
  <c r="D8" i="2"/>
  <c r="H18" i="2"/>
  <c r="I18" i="2"/>
  <c r="F49" i="2" l="1"/>
  <c r="G49" i="2"/>
  <c r="C13" i="2"/>
  <c r="F11" i="2"/>
  <c r="F46" i="2"/>
  <c r="G46" i="2"/>
  <c r="I10" i="2"/>
  <c r="B47" i="2"/>
  <c r="D47" i="2" s="1"/>
  <c r="G10" i="2"/>
  <c r="H10" i="2"/>
  <c r="J10" i="2"/>
  <c r="D13" i="2"/>
  <c r="F8" i="2"/>
  <c r="B48" i="2" l="1"/>
  <c r="D48" i="2" s="1"/>
  <c r="J11" i="2"/>
  <c r="H11" i="2"/>
  <c r="I11" i="2"/>
  <c r="G11" i="2"/>
  <c r="G47" i="2"/>
  <c r="F47" i="2"/>
  <c r="B45" i="2"/>
  <c r="D45" i="2" s="1"/>
  <c r="F13" i="2"/>
  <c r="J8" i="2"/>
  <c r="G8" i="2"/>
  <c r="I8" i="2"/>
  <c r="H8" i="2"/>
  <c r="H13" i="2" s="1"/>
  <c r="F48" i="2" l="1"/>
  <c r="G48" i="2"/>
  <c r="F45" i="2"/>
  <c r="D50" i="2"/>
  <c r="D51" i="2"/>
  <c r="G45" i="2"/>
  <c r="G13" i="2"/>
  <c r="F51" i="2" l="1"/>
  <c r="F50" i="2"/>
  <c r="G50" i="2"/>
  <c r="B51" i="2"/>
  <c r="G5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3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3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B4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4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4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4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4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B5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5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5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5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5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B6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C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D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E6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  <comment ref="F6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Opracowanie: standardowe receptury gastronomiczne dostosowane gramaturowo do żywienia przedszkolnego na podstawie oficjalnych wytycznych i przepisów:
1) https://eli.gov.pl/api/acts/DU/2026/197/text/O/D20260197.pdf
2) https://ncez.pzh.gov.pl/wp-content/uploads/2022/02/E-book-Zywienie-w-przedszkolach-w-praktyce.pdf
3) https://ncez.pzh.gov.pl/wp-content/uploads/2021/05/jadlospisy-dla-dzieci-w-wieku-przedzkolnym.pdf
4) https://eur-lex.europa.eu/legal-content/PL/TXT/PDF/?uri=CELEX:32011R1169</t>
        </r>
      </text>
    </comment>
  </commentList>
</comments>
</file>

<file path=xl/sharedStrings.xml><?xml version="1.0" encoding="utf-8"?>
<sst xmlns="http://schemas.openxmlformats.org/spreadsheetml/2006/main" count="1231" uniqueCount="505">
  <si>
    <t>Poniedziałek</t>
  </si>
  <si>
    <t>Wtorek</t>
  </si>
  <si>
    <t>Środa</t>
  </si>
  <si>
    <t>Czwartek</t>
  </si>
  <si>
    <t>Piątek</t>
  </si>
  <si>
    <t>Zupa</t>
  </si>
  <si>
    <t>Podwieczorek</t>
  </si>
  <si>
    <t>JADŁOSPIS 2.11–6.11</t>
  </si>
  <si>
    <r>
      <rPr>
        <b/>
        <u/>
        <sz val="10.5"/>
        <rFont val="Calibri"/>
      </rPr>
      <t>Śniadanie</t>
    </r>
  </si>
  <si>
    <r>
      <rPr>
        <b/>
        <u/>
        <sz val="10.5"/>
        <rFont val="Calibri"/>
      </rPr>
      <t>Kolorowe kanapki z masłem, wędliną drobiową i słupkami papryki.</t>
    </r>
    <r>
      <rPr>
        <sz val="11"/>
        <color theme="1"/>
        <rFont val="Calibri"/>
        <family val="2"/>
        <scheme val="minor"/>
      </rPr>
      <t xml:space="preserve">
Porcja: pieczywo mieszane 1,5 kromki; masło 5 g; wędlina drobiowa 20 g; papryka 30 g.
SKŁAD: pieczywo mieszane; masło; wędlina drobiowa; papryka.
Alergeny: pszenica i żyto (gluten), mleko.</t>
    </r>
  </si>
  <si>
    <r>
      <rPr>
        <b/>
        <u/>
        <sz val="10.5"/>
        <rFont val="Calibri"/>
      </rPr>
      <t>Ciepłe parówki drobiowe z pieczywem mieszanym i dodatkiem ketchupu.</t>
    </r>
    <r>
      <rPr>
        <sz val="11"/>
        <color theme="1"/>
        <rFont val="Calibri"/>
        <family val="2"/>
        <scheme val="minor"/>
      </rPr>
      <t xml:space="preserve">
Porcja: parówki 1,5 szt.; pieczywo 1,5 kromki; ketchup 10 g.
SKŁAD: parówki drobiowe; pieczywo mieszane; ketchup.
Alergeny: pszenica i żyto (gluten).</t>
    </r>
  </si>
  <si>
    <r>
      <rPr>
        <b/>
        <u/>
        <sz val="10.5"/>
        <rFont val="Calibri"/>
      </rPr>
      <t>Jogurtowe placuszki z musem jogurtowo-owocowym.</t>
    </r>
    <r>
      <rPr>
        <sz val="11"/>
        <color theme="1"/>
        <rFont val="Calibri"/>
        <family val="2"/>
        <scheme val="minor"/>
      </rPr>
      <t xml:space="preserve">
Porcja: placuszki 3 szt.; mus jogurtowo-owocowy 15 g.
SKŁAD: placuszki jogurtowe; jogurt; dżem owocowy.
Alergeny: mleko.</t>
    </r>
  </si>
  <si>
    <r>
      <rPr>
        <b/>
        <u/>
        <sz val="10.5"/>
        <rFont val="Calibri"/>
      </rPr>
      <t>Złociste płatki kukurydziane z mlekiem oraz bułka z masłem.</t>
    </r>
    <r>
      <rPr>
        <sz val="11"/>
        <color theme="1"/>
        <rFont val="Calibri"/>
        <family val="2"/>
        <scheme val="minor"/>
      </rPr>
      <t xml:space="preserve">
Porcja: płatki 30 g; mleko 200 ml; bułka 1 szt.; masło 5 g.
SKŁAD: płatki kukurydziane; mleko; bułka pszenna; masło.
Alergeny: pszenica (gluten), mleko.</t>
    </r>
  </si>
  <si>
    <r>
      <rPr>
        <b/>
        <u/>
        <sz val="10.5"/>
        <rFont val="Calibri"/>
      </rPr>
      <t>Maślana jajecznica z pieczywem mieszanym, rzodkiewką i białą rzodkwią.</t>
    </r>
    <r>
      <rPr>
        <sz val="11"/>
        <color theme="1"/>
        <rFont val="Calibri"/>
        <family val="2"/>
        <scheme val="minor"/>
      </rPr>
      <t xml:space="preserve">
Porcja: pieczywo 1,5 kromki; jaja 1,5 szt.; masło 5 g; warzywa 30 g łącznie.
SKŁAD: pieczywo mieszane; jaja; masło; rzodkiewka; biała rzodkiew.
Alergeny: pszenica i żyto (gluten), mleko, jaja.</t>
    </r>
  </si>
  <si>
    <r>
      <rPr>
        <b/>
        <u/>
        <sz val="10.5"/>
        <rFont val="Calibri"/>
      </rPr>
      <t>Zupa</t>
    </r>
  </si>
  <si>
    <r>
      <rPr>
        <b/>
        <u/>
        <sz val="10.5"/>
        <rFont val="Calibri"/>
      </rPr>
      <t>Rozgrzewający krupnik z kaszą jęczmienną, ziemniakami i warzywami.</t>
    </r>
    <r>
      <rPr>
        <sz val="11"/>
        <color theme="1"/>
        <rFont val="Calibri"/>
        <family val="2"/>
        <scheme val="minor"/>
      </rPr>
      <t xml:space="preserve">
Porcja: zupa 300 ml; ziemniaki 80 g, podawane osobno.
SKŁAD: wywar warzywny; kasza jęczmienna; ziemniaki; marchew; pietruszka; seler; olej; przyprawy.
Alergeny: jęczmień (gluten), seler.</t>
    </r>
  </si>
  <si>
    <r>
      <rPr>
        <b/>
        <u/>
        <sz val="10.5"/>
        <rFont val="Calibri"/>
      </rPr>
      <t>Delikatna ryżanka z bukietem warzyw.</t>
    </r>
    <r>
      <rPr>
        <sz val="11"/>
        <color theme="1"/>
        <rFont val="Calibri"/>
        <family val="2"/>
        <scheme val="minor"/>
      </rPr>
      <t xml:space="preserve">
Porcja: 300 ml gotowej zupy z ryżem i warzywami.
SKŁAD: wywar warzywny; ryż; marchew; pietruszka; seler; olej; przyprawy.
Alergeny: seler.</t>
    </r>
  </si>
  <si>
    <r>
      <rPr>
        <b/>
        <u/>
        <sz val="10.5"/>
        <rFont val="Calibri"/>
      </rPr>
      <t>Zielona brokułowa z makaronowymi kolankami.</t>
    </r>
    <r>
      <rPr>
        <sz val="11"/>
        <color theme="1"/>
        <rFont val="Calibri"/>
        <family val="2"/>
        <scheme val="minor"/>
      </rPr>
      <t xml:space="preserve">
Porcja: zupa 300 ml; makaron 100 g po ugotowaniu i odcedzeniu, podawany osobno.
SKŁAD: wywar warzywny; brokuły; marchew; pietruszka; seler; śmietanka; makaron pszenny kolanka; olej; przyprawy.
Alergeny: pszenica (gluten), mleko, seler.</t>
    </r>
  </si>
  <si>
    <r>
      <rPr>
        <b/>
        <u/>
        <sz val="10.5"/>
        <rFont val="Calibri"/>
      </rPr>
      <t>Kolorowy barszcz ukraiński z warzywami i ziemniakami.</t>
    </r>
    <r>
      <rPr>
        <sz val="11"/>
        <color theme="1"/>
        <rFont val="Calibri"/>
        <family val="2"/>
        <scheme val="minor"/>
      </rPr>
      <t xml:space="preserve">
Porcja: zupa 300 ml; ziemniaki 80 g, podawane osobno.
SKŁAD: wywar na kościach schabowych; mieszanka warzywna do barszczu ukraińskiego; ziemniaki; Vegetop; olej; przyprawy.</t>
    </r>
  </si>
  <si>
    <r>
      <rPr>
        <b/>
        <u/>
        <sz val="10.5"/>
        <rFont val="Calibri"/>
      </rPr>
      <t>Pachnąca pomidorowa z makaronowymi świderkami.</t>
    </r>
    <r>
      <rPr>
        <sz val="11"/>
        <color theme="1"/>
        <rFont val="Calibri"/>
        <family val="2"/>
        <scheme val="minor"/>
      </rPr>
      <t xml:space="preserve">
Porcja: zupa 300 ml; makaron 100 g po ugotowaniu i odcedzeniu, podawany osobno.
SKŁAD: wywar na porcjach rosołowych; koncentrat pomidorowy; marchew; pietruszka; seler; Vegetop; makaron pszenny świderki; olej; przyprawy.
Alergeny: pszenica (gluten), seler.</t>
    </r>
  </si>
  <si>
    <r>
      <rPr>
        <b/>
        <u/>
        <sz val="10.5"/>
        <rFont val="Calibri"/>
      </rPr>
      <t>II danie</t>
    </r>
  </si>
  <si>
    <r>
      <rPr>
        <b/>
        <u/>
        <sz val="10.5"/>
        <rFont val="Calibri"/>
      </rPr>
      <t>Złociste kąski z piersi kurczaka z ryżem i mizerią jogurtową.</t>
    </r>
    <r>
      <rPr>
        <sz val="11"/>
        <color theme="1"/>
        <rFont val="Calibri"/>
        <family val="2"/>
        <scheme val="minor"/>
      </rPr>
      <t xml:space="preserve">
Porcja: filet 80 g przed obróbką, bez masy panierki; ryż 120 g po ugotowaniu; mizeria 40 g.
SKŁAD: filet z kurczaka; mąka pszenna; jaja; bułka tarta; olej; ryż; ogórek; jogurt; sól; pieprz.
Alergeny: pszenica (gluten), mleko, jaja.</t>
    </r>
  </si>
  <si>
    <r>
      <rPr>
        <b/>
        <u/>
        <sz val="10.5"/>
        <rFont val="Calibri"/>
      </rPr>
      <t>Spaghetti z mięsem wieprzowym w aromatycznym sosie pomidorowym.</t>
    </r>
    <r>
      <rPr>
        <sz val="11"/>
        <color theme="1"/>
        <rFont val="Calibri"/>
        <family val="2"/>
        <scheme val="minor"/>
      </rPr>
      <t xml:space="preserve">
Porcja: makaron 120 g po ugotowaniu i odcedzeniu; gotowy sos z mięsem 80 g.
SKŁAD: makaron pszenny; mięso wieprzowe; koncentrat pomidorowy; marchew; cebula; olej; przyprawy.
Alergeny: pszenica (gluten).</t>
    </r>
  </si>
  <si>
    <r>
      <rPr>
        <b/>
        <u/>
        <sz val="10.5"/>
        <rFont val="Calibri"/>
      </rPr>
      <t>Rumiana pałka kurczaka z gotowanymi ziemniakami i surówką marchewkową.</t>
    </r>
    <r>
      <rPr>
        <sz val="11"/>
        <color theme="1"/>
        <rFont val="Calibri"/>
        <family val="2"/>
        <scheme val="minor"/>
      </rPr>
      <t xml:space="preserve">
Porcja: pałka kurczaka 1 szt. (około 143 g przed pieczeniem, z kością); ziemniaki 120 g po ugotowaniu; surówka 40 g.
SKŁAD: pałka kurczaka; ziemniaki; marchew; olej; przyprawy.</t>
    </r>
  </si>
  <si>
    <r>
      <rPr>
        <b/>
        <u/>
        <sz val="10.5"/>
        <rFont val="Calibri"/>
      </rPr>
      <t>Złociste paluszki rybne z ziemniakami z pieca i surówką wiosenną.</t>
    </r>
    <r>
      <rPr>
        <sz val="11"/>
        <color theme="1"/>
        <rFont val="Calibri"/>
        <family val="2"/>
        <scheme val="minor"/>
      </rPr>
      <t xml:space="preserve">
Porcja: paluszki rybne 80 g przed obróbką; ziemniaki opiekane 120 g; surówka 40 g.
SKŁAD: paluszki rybne w panierce; ziemniaki; surówka wiosenna; olej; przyprawy.
Alergeny: ryby.</t>
    </r>
  </si>
  <si>
    <r>
      <rPr>
        <b/>
        <u/>
        <sz val="10.5"/>
        <rFont val="Calibri"/>
      </rPr>
      <t>Naleśniki z delikatnym nadzieniem twarogowym i musem brzoskwiniowym.</t>
    </r>
    <r>
      <rPr>
        <sz val="11"/>
        <color theme="1"/>
        <rFont val="Calibri"/>
        <family val="2"/>
        <scheme val="minor"/>
      </rPr>
      <t xml:space="preserve">
Porcja: naleśniki 2 szt.; twaróg 60 g, jogurt 10 g i cukier 4 g w nadzieniu; mus brzoskwiniowy 30 g.
SKŁAD: mąka pszenna; mleko; jaja; woda; olej rzepakowy; twaróg; jogurt; cukier; brzoskwinie w syropie.
Alergeny: pszenica (gluten), mleko, jaja.</t>
    </r>
  </si>
  <si>
    <r>
      <rPr>
        <b/>
        <u/>
        <sz val="10.5"/>
        <rFont val="Calibri"/>
      </rPr>
      <t>Podwieczorek</t>
    </r>
  </si>
  <si>
    <r>
      <rPr>
        <b/>
        <u/>
        <sz val="10.5"/>
        <rFont val="Calibri"/>
      </rPr>
      <t>Owocowy duet - jogurt z dżemem i herbatniki.</t>
    </r>
    <r>
      <rPr>
        <sz val="11"/>
        <color theme="1"/>
        <rFont val="Calibri"/>
        <family val="2"/>
        <scheme val="minor"/>
      </rPr>
      <t xml:space="preserve">
Porcja: jogurt z dżemem 200 g; herbatniki 2 szt.
SKŁAD: jogurt; dżem owocowy; herbatniki.
Alergeny: mleko.</t>
    </r>
  </si>
  <si>
    <r>
      <rPr>
        <b/>
        <u/>
        <sz val="10.5"/>
        <rFont val="Calibri"/>
      </rPr>
      <t>Mleczny budyń z bananowym dodatkiem.</t>
    </r>
    <r>
      <rPr>
        <sz val="11"/>
        <color theme="1"/>
        <rFont val="Calibri"/>
        <family val="2"/>
        <scheme val="minor"/>
      </rPr>
      <t xml:space="preserve">
Porcja: gotowy budyń 200 ml; banan 50 g bez skórki.
SKŁAD: mleko; proszek budyniowy; cukier; banan.
Alergeny: mleko.</t>
    </r>
  </si>
  <si>
    <r>
      <rPr>
        <b/>
        <u/>
        <sz val="10.5"/>
        <rFont val="Calibri"/>
      </rPr>
      <t>Drożdżowy podwieczorek - puszyste ciasto drożdżowe.</t>
    </r>
    <r>
      <rPr>
        <sz val="11"/>
        <color theme="1"/>
        <rFont val="Calibri"/>
        <family val="2"/>
        <scheme val="minor"/>
      </rPr>
      <t xml:space="preserve">
Porcja: ciasto drożdżowe 2 plasterki (około 120 g).
SKŁAD: ciasto drożdżowe.</t>
    </r>
  </si>
  <si>
    <r>
      <rPr>
        <b/>
        <u/>
        <sz val="10.5"/>
        <rFont val="Calibri"/>
      </rPr>
      <t>Owocowa galaretka w towarzystwie mandarynki.</t>
    </r>
    <r>
      <rPr>
        <sz val="11"/>
        <color theme="1"/>
        <rFont val="Calibri"/>
        <family val="2"/>
        <scheme val="minor"/>
      </rPr>
      <t xml:space="preserve">
Porcja: gotowa galaretka 200 g; mandarynka 1 szt.
SKŁAD: galaretka owocowa; mandarynka.</t>
    </r>
  </si>
  <si>
    <r>
      <rPr>
        <b/>
        <u/>
        <sz val="10.5"/>
        <rFont val="Calibri"/>
      </rPr>
      <t>Kremowe kanapki z masłem i serkiem śmietankowym oraz słupkami marchewki i ogórka.</t>
    </r>
    <r>
      <rPr>
        <sz val="11"/>
        <color theme="1"/>
        <rFont val="Calibri"/>
        <family val="2"/>
        <scheme val="minor"/>
      </rPr>
      <t xml:space="preserve">
Porcja: pieczywo 1,5 kromki; masło 5 g; serek śmietankowy 40 g; warzywa 30 g łącznie.
SKŁAD: pieczywo mieszane; masło; serek śmietankowy; marchew; ogórek.
Alergeny: pszenica i żyto (gluten), mleko.</t>
    </r>
  </si>
  <si>
    <t>FOOD COST PRZEDSZKOLE • 19.10–23.10 • SZACUNEK</t>
  </si>
  <si>
    <t>Wariant maksymalny: 115 dzieci/dzień. Można zmieniać frekwencję osobno w C45:C49. Koszty NETTO, z rezerwą kosztową 5%; część cen i receptur nadal robocza. Brzoskwinie: 7,91 zł netto/puszka, 470 g po odsączeniu — mus doliczono. Ceny podane bez oznaczenia netto przyjęto brutto, VAT do potwierdzenia na fakturach.</t>
  </si>
  <si>
    <t>Stawka netto</t>
  </si>
  <si>
    <t>Cel dzienny</t>
  </si>
  <si>
    <t>Kolory posiłków: zielony ≤ budżet; żółty do 120% budżetu; czerwony &gt;120%. Kolory dnia: zielony ≤7 zł; żółty &gt;7–8 zł; czerwony &gt;8 zł.</t>
  </si>
  <si>
    <t>Rezerwa na straty</t>
  </si>
  <si>
    <t>Żółty do (dzień)</t>
  </si>
  <si>
    <t>Dzień</t>
  </si>
  <si>
    <t>Śniadanie</t>
  </si>
  <si>
    <t>II danie</t>
  </si>
  <si>
    <t>Razem netto</t>
  </si>
  <si>
    <t>Food cost</t>
  </si>
  <si>
    <t>Na inne koszty</t>
  </si>
  <si>
    <t>Ocena dnia</t>
  </si>
  <si>
    <t>Orientacyjnie ±20%</t>
  </si>
  <si>
    <t>ŚREDNIA MENU</t>
  </si>
  <si>
    <t>Posiłek</t>
  </si>
  <si>
    <t>Danie</t>
  </si>
  <si>
    <t>Koszt receptury</t>
  </si>
  <si>
    <t>Rezerwa 5%</t>
  </si>
  <si>
    <t>Koszt z rezerwą</t>
  </si>
  <si>
    <t>Budżet</t>
  </si>
  <si>
    <t>Odchylenie</t>
  </si>
  <si>
    <t>Ocena</t>
  </si>
  <si>
    <t>Założenia / braki w pliku</t>
  </si>
  <si>
    <t>Kolorowe kanapki z masłem, wędliną drobiową i słupkami papryki.</t>
  </si>
  <si>
    <t>Chleb: 1,5 kromki po 2,89 zł brutto/21 kromek; koszt według liczby kromek, zgodnie z ustaleniem. Papryka 30 g przyjęta.</t>
  </si>
  <si>
    <t>Rozgrzewający krupnik z kaszą jęczmienną, ziemniakami i warzywami.</t>
  </si>
  <si>
    <t>Ustalono z Adamem: 300 ml gotowego krupniku +80 g ziemniaków osobno. Kasza roboczo 400 g suchej/10 l GOTOWEJ zupy, czyli 12 g suchej/dziecko. Gotową zupę doprowadzić do założonej objętości po napęcznieniu kaszy. Konsystencja do sprawdzenia przy pierwszej partii. Ziemniaki kupowane obrane; wydajność gotowania roboczo 100%. Wywar warzywny.</t>
  </si>
  <si>
    <t>Złociste kąski z piersi kurczaka z ryżem i mizerią w jogurtowej odsłonie.</t>
  </si>
  <si>
    <t>Potwierdzone przez Adama: odważane 80 g surowego fileta na dziecko, bez panierki. Masa gotowego mięsa zależy od ubytku podczas pieczenia. Panierka, mąka, jajko i tłuszcz liczone oddzielnie (ilości nadal robocze). Ryż: potwierdzone 120 g po ugotowaniu/dziecko, 14,4 kg gotowego/120 dzieci. Do kosztów roboczo 40 g suchego/dziecko (4,8 kg/120 dzieci); wydajność do sprawdzenia; Mizeria: potwierdzone 40 g gotowej surówki/dziecko; proporcja robocza 32 g ogórka po obraniu +8 g jogurtu. Dla 120 dzieci: 4,8 kg gotowej mizerii, 3,84 kg ogórka po obraniu i 0,96 kg jogurtu. Do zakupów ogórka uwzględnić obieranie.</t>
  </si>
  <si>
    <t>Owocowy duet — jogurt z dżemem i herbatniki maślane.</t>
  </si>
  <si>
    <t>Potwierdzone przez Adama: 200 g gotowej mieszanki jogurtu z dżemem i 2 herbatniki na dziecko. Receptura: 10 l bazy jogurtowej za 48 zł brutto +1,5 kg dżemu po 32 zł brutto/3,5 kg. VAT roboczo 5%; 1 l bazy≈1 kg. Dwa herbatniki oszacowano jako 14 g — masa do sprawdzenia. Ilości zbiorcze zależą od poniedziałkowej frekwencji.</t>
  </si>
  <si>
    <t>Ciepłe parówki drobiowe z pieczywem mieszanym i dodatkiem ketchupu.</t>
  </si>
  <si>
    <t>Potwierdzone: 1,5 parówki drobiowej i 1,5 kromki chleba na dziecko. Parówki 9 zł brutto/16 szt.; chleb 2,89 zł brutto/21 kromek. Ketchup przyjęto roboczo 10 g/dziecko.</t>
  </si>
  <si>
    <t>Delikatna ryżanka z bukietem warzyw.</t>
  </si>
  <si>
    <t>Potwierdzone przez Adama: ryżanka z ryżem. Wycofano wcześniejsze założenie ziemniaków. Porcja 300 ml gotowej zupy; ryż gotowany w zupie. Roboczo 400 g suchego ryżu/10 l GOTOWEJ zupy, czyli 12 g/dziecko. Ilość ryżu i konsystencja do sprawdzenia przy pierwszym gotowaniu. Wywar warzywny; warzywa według składu.</t>
  </si>
  <si>
    <t>Makaronowe wstążki spaghetti z mięsem wieprzowym w sosie pomidorowym.</t>
  </si>
  <si>
    <t>Potwierdzone składniki sosu: koncentrat pomidorowy i marchew; makaron i sos podawane osobno. PRÓBNA receptura: 40 g surowego mięsa, 20 g marchwi, 10 g koncentratu, 5 g cebuli, 2 ml oleju/dziecko; przyprawy. Wodę dodać tak, aby po gotowaniu uzyskać 80 g sosu/dziecko. Makaron roboczo 120 g ugotowanego (48 g suchego). Gramatury sosu, cebula, tłuszcz i brak mąki są propozycją; do sprawdzenia wydajność i wartość odżywcza. 40 g mięsa nie jest zatwierdzoną normą. Adam zaakceptował porcję roboczą: 120 g makaronu +80 g gotowego sosu z 40 g surowego mięsa; kontrola wydajności i wartości odżywczej nadal pozostaje do wykonania.</t>
  </si>
  <si>
    <t>Mleczny budyń z bananowym dodatkiem.</t>
  </si>
  <si>
    <t>Potwierdzone: 200 ml GOTOWEGO budyniu +banan; porcja miąższu roboczo 50 g/dziecko. Cena banana od Adama 7 zł/kg, rodzaj ceny niepodany: roboczo BRUTTO/VAT 5%. Założono wydajność obierania 2/3, czyli zakup 75 g banana ZE SKÓRKĄ na 50 g miąższu; sprawdzić rzeczywistą wydajność. Banana doliczono do kosztu posiłku. Budyń roboczo: 180 ml mleka, 12 g proszku bez cukru i 8 g cukru/dziecko; receptura i wydajność do sprawdzenia.</t>
  </si>
  <si>
    <t>Jogurtowe placuszki otulone musem jogurtowo-owocowym.</t>
  </si>
  <si>
    <t>Kupowane placuszki: 100 szt./karton za 75 zł; rodzaj ceny nadal przyjęty roboczo jako BRUTTO, VAT 5% do faktury. Porcja 3 szt. +1 niewielka łyżka musu; łyżkę przyjęto roboczo jako 15 g do sprawdzenia na wadze. Skład musu potwierdzony: jogurt i dżem. Użyto wcześniejszej proporcji 10 l jogurtu za 48 zł brutto +1,5 kg dżemu po 32 zł brutto/3,5 kg; 1 l bazy≈1 kg. Usunięto śmietankę i osobne owoce z wcześniejszego szacunku. Masa placuszka pozostaje nieznana.</t>
  </si>
  <si>
    <t>Zielona brokułowa z makaronowymi kolankami.</t>
  </si>
  <si>
    <t>Potwierdzone przez Adama: makaron do zup 100 g UGOTOWANEGO I ODCEDZONEGO/dziecko, podawany osobno; zupa 300 ml. Do kosztów roboczo 40 g suchego makaronu (wydajność 2,5× do sprawdzenia). Brokuły 50 g i śmietanka 15 ml to dotychczasowe założenia do receptury. Wywar warzywny.</t>
  </si>
  <si>
    <t>Rumiana pałka kurczaka z gotowanymi ziemniakami i marchewkową surówką.</t>
  </si>
  <si>
    <t>Potwierdzone przez Adama: podudzie (pałka) z King Dystrybucja 9 zł NETTO/kg; cena bez ponownego odejmowania VAT. 1 pałka/dziecko. Ustalone roboczo 7 pałek/kg surowego produktu z kością: zakup 1/7 kg≈143 g i koszt mięsa 9/7≈1,29 zł netto/dziecko, przed rezerwą 5%. Liczba sztuk i masa do sprawdzenia przy dostawie. Potwierdzone przez Adama: ziemniaki 120 g po ugotowaniu i surówka 40 g. Skład i ilości tłuszczu/przypraw do uzgodnienia.</t>
  </si>
  <si>
    <t>Drożdżowy podwieczorek — dwa plasterki ciasta drożdżowego.</t>
  </si>
  <si>
    <t>Kupowane ciasto: karton 10×900 g =9 kg za 128 zł NETTO; bochenek 12,80 zł netto. Ustalone roboczo 15 plasterków/bochenek i 2 plasterki/dziecko: plaster 60 g, porcja 120 g. Cena porcji 1,7067 zł netto przed rezerwą 5%. Karton =150 plasterków, czyli 75 porcji; przy nieparzystych 15 plastrach pozostały plaster łączyć z kolejnym bochenkiem. Zweryfikować krojenie i masę porcji. Skład, alergeny i wartość odżywcza do sprawdzenia z etykiety; nie założono owocowego nadzienia. Środowe śniadanie (placuszki) do dalszego uzgodnienia.</t>
  </si>
  <si>
    <t>Złociste płatki kukurydziane z mlekiem oraz bułka z masłem.</t>
  </si>
  <si>
    <t>Potwierdzone: płatki kukurydziane 12 zł NETTO/kg. Bułka 0,40 zł/szt. — rodzaj ceny niepodany, roboczo przyjęto BRUTTO i VAT 5% (0,381 zł netto/szt.). Każde dziecko otrzymuje płatki 30 g, mleko 200 ml, bułkę 1 szt. i masło 5 g. Liczba bułek =liczba zamówionych czwartkowych śniadań; waga bułki nadal nieznana. Mleko 2,40 zł/l brutto, masło 3 zł/200 g brutto.</t>
  </si>
  <si>
    <t>Kolorowy barszcz ukraiński z warzywami i ziemniakami.</t>
  </si>
  <si>
    <t>Receptura robocza na 20 l GOTOWEJ zupy: 5 kg mieszanki mrożonej (20 zł/2,5 kg), 3,5 kg kości schabowych (podano 3–4 kg; cena 4 zł/kg), 1,5 l Vegetopu (podano 1–2 l; cena 90 zł/10 l). Te ceny nieoznaczone jako netto przyjęto BRUTTO, VAT roboczo 5% do faktury. Na dziecko: 300 ml gotowej zupy +80 g obranych ziemniaków osobno; w zupie 75 g mieszanki, 22,5 ml Vegetopu i wywar z 52,5 g użytych kości. Olej 3 ml i przyprawy 0,08 zł nadal szacunkowe. Sprawdzić wydajność gotowania i etykiety/alergeny.</t>
  </si>
  <si>
    <t>Paluszki rybne ze złocistymi ziemniakami z pieca i kolorową surówką.</t>
  </si>
  <si>
    <t>Potwierdzone: paluszki 80 g produktu z kartonu (140 zł NETTO/5 kg), ziemniaki opiekane 120 g GOTOWE, kupowana surówka wiosenna 40 g. Cena surówki potwierdzona 8 zł NETTO/kg, czyli 0,32 zł netto/dziecko przed rezerwą. Usunięto wcześniejsze założenia osobnych warzyw do surówki. Skład i alergeny gotowej surówki według etykiety. Do ziemniaków roboczo 120 g obranych przed pieczeniem (wydajność do sprawdzenia); olej 8 ml i przyprawy 0,08 zł pozostają szacunkowe.</t>
  </si>
  <si>
    <t>Owocowa galaretka w towarzystwie mandarynki.</t>
  </si>
  <si>
    <t>Ustalone: 200 g GOTOWEJ galaretki i 1 CAŁA mandarynka/dziecko. Ten zestaw zastąpił pierwotne truskawki i dodatkowe jabłko. Proszek 10 zł brutto/kg; wydajność 5 l gotowej galaretki/kg, roboczo 1 l≈1 kg, czyli 40 g proszku/dziecko. VAT galaretki roboczo 8%. Mandarynki 8 zł/kg według założenia Adama, rodzaj ceny niepodany: przyjęto BRUTTO/VAT 5%. Masa zakupowa owocu nadal szacowana na 100 g ZE SKÓRKĄ, do sprawdzenia; do zamówienia liczyć przede wszystkim 1 szt./dziecko.</t>
  </si>
  <si>
    <t>Maślana jajecznica z pieczywem mieszanym, rzodkiewką i białą rzodkwią.</t>
  </si>
  <si>
    <t>1,5 jaja; chleb 1,5 kromki po 2,89 zł brutto/21 kromek, zamiast niepewnych 70 g; rzodkiew 30 g przyjęta. Adam potwierdził piątkowe śniadanie: 1,5 jajka, 1,5 kromki chleba, 5 g masła i warzywa.</t>
  </si>
  <si>
    <t>Pachnąca pomidorowa z makaronowymi świderkami.</t>
  </si>
  <si>
    <t>Potwierdzone: wywar na porcjach rosołowych 3 zł BRUTTO/kg oraz zabielanie Vegetopem (90 zł/10 l przyjęte brutto). ILOŚCI NIEPOTWIERDZONE: roboczo 3,5 kg porcji rosołowych i 1,5 l Vegetopu/20 l GOTOWEJ pomidorowej. Porcja 300 ml +100 g makaronu ugotowanego osobno. Na porcję: 52,5 g porcji użytych do wywaru, 22,5 ml Vegetopu; makaron roboczo 40 g suchy (wydajność 2,5×). Koncentrat 25 g i warzywa pozostają założeniami; ilość koncentratu i receptura do uzgodnienia. VAT porcji i Vegetopu roboczo 5%.</t>
  </si>
  <si>
    <t>Naleśniki z delikatnym nadzieniem twarogowym i słonecznym musem brzoskwiniowym.</t>
  </si>
  <si>
    <t>Naleśniki robione na miejscu. PRÓBNA receptura/dziecko: mąka 40 g, mleko 60 ml, woda 30 ml, jajko 0,3 szt. (przyjęto 50 g części jadalnej/szt.), olej 3 ml łącznie do ciasta i smarowania. Nadzienie: sam twaróg 60 g +jogurt 10 g +cukier 4 g. Z tej partii cel: 2 naleśniki/dziecko, po 30 g SAMEGO twarogu w każdym, poza jogurtem i cukrem. Mus brzoskwiniowy 30 g/dziecko. Receptura do sprawdzenia w partii na 10 dzieci; zważyć uzysk i dostosować liczbę sztuk do patelni. Mus doliczony: 7,91 zł netto/puszka 820 g, potwierdzone 470 g owoców po odsączeniu. Do 30 g musu/dziecko przyjęto 30 g odsączonych brzoskwiń; ewentualny dodatek syropu nie zmniejsza planowanego zakupu; wodę technologiczną rozlicza się w mediach.</t>
  </si>
  <si>
    <t>Kremowe kanapki z masłem i serkiem śmietankowym oraz chrupiącymi słupkami marchewki i ogórka.</t>
  </si>
  <si>
    <t>Potwierdzone przez Adama: 1,5 kromki chleba, masło 5 g, serek śmietankowy 40 g i warzywa 30 g ŁĄCZNIE/dziecko. Podział warzyw do kalkulacji roboczo po 15 g marchwi i ogórka (część przygotowana do podania); ubytki obierania do sprawdzenia przy zakupach. Serek 20 zł/kg przyjęty brutto. Chleb 2,89 zł/21 kromek brutto; masło 3 zł/200 g brutto. Ceny warzyw nadal szacunkowe.</t>
  </si>
  <si>
    <t>Rezerwa 5% obejmuje dodatkowe straty i drobne nadwyżki. Ubytki obróbki uwzględniono w ilościach zakupowych; dla ziemniaków obranych roboczo wydajność gotowania 100%, bez strat obierania. ±20% to orientacyjny zakres, nie wynik statystyczny.</t>
  </si>
  <si>
    <t>Koszt produktów nie obejmuje pracy, transportu, energii, opakowań ani zysku. Chleb rozliczany na kromki; na śniadania i podwieczorki z chlebem policzono po 1,5 kromki (dla podwieczorków to założenie). Dodatkowe napoje poza mlekiem w posiłkach nie są opisane w pliku i nie zostały wycenione.</t>
  </si>
  <si>
    <t>Do potwierdzenia: ceny netto z faktur, masa udek oraz paluszków po obróbce, ilość twarogu, sucha/gotowa kasza, ryż i makaron. Przyjęto wywary warzywne, bez mięsa i kości.</t>
  </si>
  <si>
    <t>Błędy opisów: środa udo/wieprzowina i marchew/buraki; czwartek ryba/drób; braki brokułów, buraków i pomidorów w składach. Alergeny wymagają osobnej korekty według rzeczywistych receptur.</t>
  </si>
  <si>
    <t>KOSZT TYGODNIA • PLAN MAKSYMALNY 115 DZIECI DZIENNIE</t>
  </si>
  <si>
    <t>Liczba dzieci</t>
  </si>
  <si>
    <t>Wpisz w kolumnie C</t>
  </si>
  <si>
    <t>Plan maksymalny to 115 porcji/dzień. Wpisz rzeczywiste zamówienia w kolumnie C — lista zakupów przeliczy się automatycznie.</t>
  </si>
  <si>
    <t>Koszt / dziecko netto</t>
  </si>
  <si>
    <t>Liczba porcji</t>
  </si>
  <si>
    <t>Produkty razem netto</t>
  </si>
  <si>
    <t>Przychód netto</t>
  </si>
  <si>
    <t>Na inne koszty i zysk</t>
  </si>
  <si>
    <t>TYDZIEŃ • 5 DNI</t>
  </si>
  <si>
    <t>ŚREDNIO / DZIEŃ</t>
  </si>
  <si>
    <t>Koszt produktów zawiera rezerwę kosztową 5%; pozostała kwota pokrywa m.in. pracę, transport, energię, opakowania i zysk. Mus brzoskwiniowy oraz banany są doliczone. Niektóre ceny, receptury i wydajności pozostają szacunkowe. Zakupy pełnych opakowań mogą kosztować więcej niż zużycie tygodniowe — nadwyżka zostaje w magazynie.</t>
  </si>
  <si>
    <t>Ustalenie Adama: surówki po 40 g gotowej porcji na dziecko. Potwierdzone i przeliczone w poniedziałek; pozostałe receptury będą uzgadniane podczas sprawdzania kolejnych dni. Makaron do zupy: 100 g po ugotowaniu i odcedzeniu, osobno do 300 ml zupy; suchy makaron roboczo 40 g, wydajność do sprawdzenia.</t>
  </si>
  <si>
    <t>PRZEDSZKOLA • LICZBA DZIECI PODANA PRZEZ ADAMA</t>
  </si>
  <si>
    <t>Przedszkole</t>
  </si>
  <si>
    <t>Zduny</t>
  </si>
  <si>
    <t>Łącznie 115 dzieci w trzech placówkach. To liczba zgłoszona, a nie stałe zamówienie. Liczbę porcji na każdy dzień wpisuj oddzielnie w kolumnie C powyżej. Dawne wyliczenia na 120 dzieci w opisach są przykładami, nie aktualnym stanem.</t>
  </si>
  <si>
    <t>Bąków</t>
  </si>
  <si>
    <t>Dąbkowice</t>
  </si>
  <si>
    <t>RAZEM</t>
  </si>
  <si>
    <t>DO WERYFIKACJI PRZED ZATWIERDZENIEM ŻYWIENIOWYM</t>
  </si>
  <si>
    <t>Obecny plan zawiera trzy obiady z mięsem: poniedziałek, wtorek i środa. Rozporządzenie MZ z 16.02.2026 r., §2 ust.3 pkt7 lit.g–h, przewiduje dwa obiady mięsne w tygodniu i co najmniej jeden z potrawą na bazie strączków bez produktów odzwierzęcych. W obecnym planie trzeba uzgodnić odpowiednią zamianę. Wycena i zakupy dotyczą aktualnej wersji, przed tą korektą; nie wykonano bilansu energii i składników odżywczych.</t>
  </si>
  <si>
    <t>Źródło: rozporządzenie MZ, Dz.U. 2026 poz.197, §2: https://eli.gov.pl/api/acts/DU/2026/197/text/O/D20260197.pdf</t>
  </si>
  <si>
    <t>KALKULACJA SKŁADNIKÓW • ILOŚĆ ZAKUPOWA × CENA NETTO</t>
  </si>
  <si>
    <t>Wszystkie ilości dotyczą 1 dziecka; kg/l surowca przed obróbką, jaja i bułki w sztukach. Ceny robocze w L:N można zastąpić cenami netto z faktur.</t>
  </si>
  <si>
    <t>ID posiłku</t>
  </si>
  <si>
    <t>Produkt</t>
  </si>
  <si>
    <t>Ilość zakupu</t>
  </si>
  <si>
    <t>Jednostka</t>
  </si>
  <si>
    <t>Cena netto/jedn.</t>
  </si>
  <si>
    <t>Koszt netto</t>
  </si>
  <si>
    <t>Cena robocza netto</t>
  </si>
  <si>
    <t>kromka</t>
  </si>
  <si>
    <t>szt.</t>
  </si>
  <si>
    <t>masło</t>
  </si>
  <si>
    <t>kg</t>
  </si>
  <si>
    <t>wędlina</t>
  </si>
  <si>
    <t>papryka</t>
  </si>
  <si>
    <t>kasza</t>
  </si>
  <si>
    <t>parówka</t>
  </si>
  <si>
    <t>ziemniaki</t>
  </si>
  <si>
    <t>ketchup</t>
  </si>
  <si>
    <t>marchew</t>
  </si>
  <si>
    <t>mąka</t>
  </si>
  <si>
    <t>pietruszka</t>
  </si>
  <si>
    <t>mleko</t>
  </si>
  <si>
    <t>l</t>
  </si>
  <si>
    <t>seler</t>
  </si>
  <si>
    <t>jaja</t>
  </si>
  <si>
    <t>olej</t>
  </si>
  <si>
    <t>jogurt</t>
  </si>
  <si>
    <t>przyprawy</t>
  </si>
  <si>
    <t>zł ryczałtu</t>
  </si>
  <si>
    <t>śmietanka</t>
  </si>
  <si>
    <t>filet</t>
  </si>
  <si>
    <t>owoce</t>
  </si>
  <si>
    <t>panierka</t>
  </si>
  <si>
    <t>płatki</t>
  </si>
  <si>
    <t>bułka</t>
  </si>
  <si>
    <t>rzodkiew</t>
  </si>
  <si>
    <t>ryż</t>
  </si>
  <si>
    <t>ogórek</t>
  </si>
  <si>
    <t>jogurtO</t>
  </si>
  <si>
    <t>dżem</t>
  </si>
  <si>
    <t>brokuły</t>
  </si>
  <si>
    <t>herbatniki</t>
  </si>
  <si>
    <t>makaron</t>
  </si>
  <si>
    <t>buraki</t>
  </si>
  <si>
    <t>kapusta</t>
  </si>
  <si>
    <t>fasola</t>
  </si>
  <si>
    <t>koncentrat</t>
  </si>
  <si>
    <t>wieprzowina</t>
  </si>
  <si>
    <t>cebula</t>
  </si>
  <si>
    <t>passata</t>
  </si>
  <si>
    <t>pałka kurczaka — King</t>
  </si>
  <si>
    <t>paluszki</t>
  </si>
  <si>
    <t>kapustaB</t>
  </si>
  <si>
    <t>twaróg</t>
  </si>
  <si>
    <t>cukier</t>
  </si>
  <si>
    <t>budyń</t>
  </si>
  <si>
    <t>banan</t>
  </si>
  <si>
    <t>kg ze skórką</t>
  </si>
  <si>
    <t>mandarynka</t>
  </si>
  <si>
    <t>placuszki kupowane</t>
  </si>
  <si>
    <t>pomidor</t>
  </si>
  <si>
    <t>galaretka</t>
  </si>
  <si>
    <t>jabłko</t>
  </si>
  <si>
    <t>serek</t>
  </si>
  <si>
    <t>jogurt do musu</t>
  </si>
  <si>
    <t>dżem do musu</t>
  </si>
  <si>
    <t>Ceny Adama brutto: jogurt 48 zł/10 l, dżem 32 zł/3,5 kg, filet 20 zł/kg, wieprzowina 12 zł/kg, chleb 2,89 zł/21 kromek, parówki 9 zł/16 szt., masło 3 zł/200 g (potwierdzone), jaja 1,20 zł/szt. (roboczo do faktur), mleko 2,40 zł/l (objętość założona), serek 20 zł/kg, twaróg 15 zł/kg (przyjęto brutto); ziemniaki obrane 23 zł/5 kg. Galaretka 10 zł brutto/kg, 5 l gotowej/kg: netto = brutto/1,08 (VAT do potwierdzenia). Inne ceny od Adama: netto = brutto/1,05. Paluszki: 140 zł NETTO/5 kg, porcja 80 g produktu zakupionego. Reszta: szacunki. Źródło dań i części gramatur: załączony jadłospis. Aktualizacja: ryż 31 zł NETTO/5 kg (6,20 zł netto/kg); wędlina drobiowa 25 zł/kg i płatki kukurydziane 12 zł/kg przyjęte BRUTTO (VAT roboczo 5%). Korekta: płatki 12 zł NETTO/kg; bułka 0,40 zł/szt. przyjęta roboczo BRUTTO (VAT 5%). Mandarynki: roboczo 8 zł/kg przyjęte brutto; 1 szt. szacowana jako 100 g ze skórką.</t>
  </si>
  <si>
    <t>Kontrola orientacyjna cen detalicznych (nie użyto jako faktur): auchan.pl – filet; carrefour.pl – jogurty i paluszki rybne. Netto z faktury ma pierwszeństwo.</t>
  </si>
  <si>
    <t>pałka kurczaka z kością</t>
  </si>
  <si>
    <t>https://zakupy.auchan.pl/categories/artykuły-spożywcze/mięso-i-drób/mięso-drobiowe/pierś-z-kurczaka/2450</t>
  </si>
  <si>
    <t>Brzoskwinie w syropie</t>
  </si>
  <si>
    <t>Wartość</t>
  </si>
  <si>
    <t>ciasto drożdżowe</t>
  </si>
  <si>
    <t>Cena puszki netto</t>
  </si>
  <si>
    <t>zł</t>
  </si>
  <si>
    <t>Masa z syropem</t>
  </si>
  <si>
    <t>g</t>
  </si>
  <si>
    <t>Masa po odsączeniu</t>
  </si>
  <si>
    <t>g owoców po odsączeniu</t>
  </si>
  <si>
    <t>PRÓBNA RECEPTURA SOSU • 10 PORCJI</t>
  </si>
  <si>
    <t>Ilość na 10 porcji</t>
  </si>
  <si>
    <t>Surowe mięso</t>
  </si>
  <si>
    <t>mrożonka barszcz ukraiński</t>
  </si>
  <si>
    <t>Marchew</t>
  </si>
  <si>
    <t>kości schabowe</t>
  </si>
  <si>
    <t>kg do wywaru</t>
  </si>
  <si>
    <t>Koncentrat</t>
  </si>
  <si>
    <t>Vegetop</t>
  </si>
  <si>
    <t>Cebula</t>
  </si>
  <si>
    <t>g — propozycja</t>
  </si>
  <si>
    <t>Olej</t>
  </si>
  <si>
    <t>ml — propozycja</t>
  </si>
  <si>
    <t>Woda</t>
  </si>
  <si>
    <t>do docelowej masy</t>
  </si>
  <si>
    <t>Gotowy sos</t>
  </si>
  <si>
    <t>g po gotowaniu</t>
  </si>
  <si>
    <t>Porcja sosu</t>
  </si>
  <si>
    <t>g z mięsem</t>
  </si>
  <si>
    <t>To propozycja technologiczna do próby. Koncentrat i marchew potwierdzone przez Adama. Ilość mięsa i pozostałe gramatury nie są zatwierdzoną normą żywieniową; wymagana kontrola wydajności i wartości odżywczej całego jadłospisu.</t>
  </si>
  <si>
    <t>surówka wiosenna kupowana</t>
  </si>
  <si>
    <t>CIASTO DROŻDŻOWE KUPOWANE</t>
  </si>
  <si>
    <t>Cena kartonu netto</t>
  </si>
  <si>
    <t>Masa bochenka</t>
  </si>
  <si>
    <t>Bochenków w kartonie</t>
  </si>
  <si>
    <t>Masa kartonu</t>
  </si>
  <si>
    <t>Cena bochenka netto</t>
  </si>
  <si>
    <t>Cena kg netto</t>
  </si>
  <si>
    <t>zł/kg</t>
  </si>
  <si>
    <t>Plastrów z bochenka</t>
  </si>
  <si>
    <t>szt. — założenie</t>
  </si>
  <si>
    <t>Plasterki na dziecko</t>
  </si>
  <si>
    <t>Masa plasterka</t>
  </si>
  <si>
    <t>g — średnio</t>
  </si>
  <si>
    <t>Masa porcji</t>
  </si>
  <si>
    <t>Cena porcji netto</t>
  </si>
  <si>
    <t>PLACUSZKI KUPOWANE</t>
  </si>
  <si>
    <t>Cena kartonu</t>
  </si>
  <si>
    <t>zł — brutto roboczo</t>
  </si>
  <si>
    <t>Vegetop do pomidorowej</t>
  </si>
  <si>
    <t>Placuszki w kartonie</t>
  </si>
  <si>
    <t>Placuszki na dziecko</t>
  </si>
  <si>
    <t>VAT do kalkulacji</t>
  </si>
  <si>
    <t>roboczo; etykieta/faktura</t>
  </si>
  <si>
    <t>Cena sztuki netto</t>
  </si>
  <si>
    <t>MUS DO PLACUSZKÓW • JOGURT I DŻEM</t>
  </si>
  <si>
    <t>Łyżka gotowej mieszanki</t>
  </si>
  <si>
    <t>g — roboczo</t>
  </si>
  <si>
    <t>jogurt do nadzienia</t>
  </si>
  <si>
    <t>Baza jogurtowa</t>
  </si>
  <si>
    <t>kg — 10 l≈10 kg</t>
  </si>
  <si>
    <t>Dżem do partii</t>
  </si>
  <si>
    <t>Masa mieszanki</t>
  </si>
  <si>
    <t>Mus na dziecko netto</t>
  </si>
  <si>
    <t>Pałki kurczaka</t>
  </si>
  <si>
    <t>Pałek na kilogram</t>
  </si>
  <si>
    <t>Pałki na dziecko</t>
  </si>
  <si>
    <t>Masa zakupu na dziecko</t>
  </si>
  <si>
    <t>kg z kością</t>
  </si>
  <si>
    <t>Cena netto/kg</t>
  </si>
  <si>
    <t>King, potwierdzone netto</t>
  </si>
  <si>
    <t>MIESZANKA DO BARSZCZU UKRAIŃSKIEGO</t>
  </si>
  <si>
    <t>Cena opakowania</t>
  </si>
  <si>
    <t>Masa opakowania</t>
  </si>
  <si>
    <t>Mieszanka na partię</t>
  </si>
  <si>
    <t>Gotowa zupa w partii</t>
  </si>
  <si>
    <t>Porcja zupy</t>
  </si>
  <si>
    <t>Mieszanka na dziecko</t>
  </si>
  <si>
    <t>Cena mieszanki netto/kg</t>
  </si>
  <si>
    <t>zł/kg — VAT roboczo 5%</t>
  </si>
  <si>
    <t>Mieszanka w porcji netto</t>
  </si>
  <si>
    <t>BARSZCZ • WYWAREM I ZABIELANIE</t>
  </si>
  <si>
    <t>Kości schabowe na partię</t>
  </si>
  <si>
    <t>kg — środek 3–4 kg</t>
  </si>
  <si>
    <t>Cena kości netto/kg</t>
  </si>
  <si>
    <t>4 zł/kg przyjęte brutto, VAT 5% roboczo</t>
  </si>
  <si>
    <t>Kości użyte / porcję</t>
  </si>
  <si>
    <t>kg — nie masa jadalna</t>
  </si>
  <si>
    <t>Cena 10 l Vegetop</t>
  </si>
  <si>
    <t>Cena litra netto</t>
  </si>
  <si>
    <t>zł/l — VAT do etykiety</t>
  </si>
  <si>
    <t>Vegetop na partię</t>
  </si>
  <si>
    <t>l — środek zakresu 1–2 l</t>
  </si>
  <si>
    <t>Vegetop / porcję</t>
  </si>
  <si>
    <t>VAT Vegetop</t>
  </si>
  <si>
    <t>roboczo; do faktury</t>
  </si>
  <si>
    <t>Surówka kupowana</t>
  </si>
  <si>
    <t>surówka wiosenna</t>
  </si>
  <si>
    <t>POMIDOROWA • WYWAREM I ZABIELANIE</t>
  </si>
  <si>
    <t>Porcje rosołowe</t>
  </si>
  <si>
    <t>zł BRUTTO/kg</t>
  </si>
  <si>
    <t>porcje rosołowe do wywaru</t>
  </si>
  <si>
    <t>Porcje na partię</t>
  </si>
  <si>
    <t>kg — założenie</t>
  </si>
  <si>
    <t>woda do ciasta</t>
  </si>
  <si>
    <t>Gotowa zupa</t>
  </si>
  <si>
    <t>brzoskwinie puszka</t>
  </si>
  <si>
    <t>puszka 820 g</t>
  </si>
  <si>
    <t>Porcje — cena netto/kg</t>
  </si>
  <si>
    <t>zł/kg, VAT roboczo 5%</t>
  </si>
  <si>
    <t>Porcje użyte / dziecko</t>
  </si>
  <si>
    <t>l — założenie</t>
  </si>
  <si>
    <t>BANAN DO BUDYNIU • CENA I OBIERANIE</t>
  </si>
  <si>
    <t>Cena banana za kg</t>
  </si>
  <si>
    <t>Wydajność po obraniu</t>
  </si>
  <si>
    <t>założenie do sprawdzenia</t>
  </si>
  <si>
    <t>Miąższ na dziecko</t>
  </si>
  <si>
    <t>Cena zakupu netto/kg</t>
  </si>
  <si>
    <t>zł/kg; VAT roboczo 5%</t>
  </si>
  <si>
    <t>Zakup na dziecko</t>
  </si>
  <si>
    <t>NALEŚNIKI Z TWAROŻKIEM I MUSEM BRZOSKWINIOWYM</t>
  </si>
  <si>
    <t>Liczba porcji do próby</t>
  </si>
  <si>
    <t>dzieci</t>
  </si>
  <si>
    <t>szt./dziecko</t>
  </si>
  <si>
    <t>Na partię</t>
  </si>
  <si>
    <t>Na dziecko</t>
  </si>
  <si>
    <t>Mąka pszenna</t>
  </si>
  <si>
    <t>Mleko</t>
  </si>
  <si>
    <t>ml</t>
  </si>
  <si>
    <t>Jajka</t>
  </si>
  <si>
    <t>Olej — ciasto i patelnia łącznie</t>
  </si>
  <si>
    <t>Twaróg do nadzienia</t>
  </si>
  <si>
    <t>Jogurt do nadzienia</t>
  </si>
  <si>
    <t>Cukier do nadzienia</t>
  </si>
  <si>
    <t>Gotowy mus brzoskwiniowy</t>
  </si>
  <si>
    <t>CIASTO: 1. Zmiksuj mleko, wodę, jajka i mąkę na gładko. Około 2/3 oleju z tabeli dodaj do ciasta, resztę zachowaj do cienkiego smarowania patelni.</t>
  </si>
  <si>
    <t>2. Odstaw ciasto na około 20 minut. Wymieszaj. Usmaż pierwszą sztukę i dobierz konsystencję niewielkim dodatkiem wody. Cel: 2 równe, cienkie placki na dziecko. Zapisz rzeczywistą liczbę sztuk uzyskanych z partii.</t>
  </si>
  <si>
    <t>NADZIENIE: 3. Wymieszaj twaróg, jogurt i cukier w ilościach z tabeli. Na każdy naleśnik przypada około 37 g gotowego farszu, w tym 30 g samego twarogu.</t>
  </si>
  <si>
    <t>MUS: 4. Odsącz brzoskwinie i zblenduj. Przygotuj po 30 g gotowego musu/dziecko. Potwierdzono: puszka 820 g za 7,91 zł netto zawiera 470 g owoców po odsączeniu. Do zakupów liczymy pełne 30 g owoców na dziecko; niewielki dodatek syropu dla konsystencji nie zmniejsza planu zakupu.</t>
  </si>
  <si>
    <t>PORCJOWANIE: 5. Na dziecko wydaj 2 naleśniki z nadzieniem oraz 30 g musu. Przy pierwszej partii zważ gotową porcję i zanotuj liczbę uzyskanych naleśników. Podgrzewanie i wydawanie według procedur kuchni.</t>
  </si>
  <si>
    <t>Wydajność z próby: ______ naleśników. Średnia masa placka bez nadzienia: ______ g. Masa gotowej porcji z farszem i musem: ______ g.</t>
  </si>
  <si>
    <t>Skład i alergeny: mąka pszenna (gluten), mleko, jaja, twaróg i jogurt (mleko), olej, cukier, brzoskwinie; sprawdzić etykiety produktów.</t>
  </si>
  <si>
    <t>Źródło ustaleń: rozmowa z Adamem i aktualny jadłospis. Gramatury ciasta, jogurtu i cukru to propozycja technologiczna do sprawdzenia; nie stanowią oceny zbilansowania całego jadłospisu.</t>
  </si>
  <si>
    <t>LISTA ZAKUPÓW • TYDZIEŃ • WARIANT MAKSYMALNY 115 DZIECI</t>
  </si>
  <si>
    <t>Frekwencja pochodzi z Wycena!C45:C49. Zmieniaj liczby osobno dla każdego dnia. Ilości są zapotrzebowaniem z aktualnych receptur; pełne opakowania zaokrąglono w górę. Przed zakupem odejmij stan magazynu.</t>
  </si>
  <si>
    <t>Dzieci — pon.</t>
  </si>
  <si>
    <t>Dzieci — wt.</t>
  </si>
  <si>
    <t>Dzieci — śr.</t>
  </si>
  <si>
    <t>Dzieci — czw.</t>
  </si>
  <si>
    <t>Dzieci — pt.</t>
  </si>
  <si>
    <t>Dodatkowy zapas ilościowy</t>
  </si>
  <si>
    <t>Domyślnie 0%. Rezerwa kosztowa 5% jest już w wycenie; nie dodajemy jej ponownie automatycznie do ilości zakupów. Zapas można zmienić świadomie.</t>
  </si>
  <si>
    <t>Jedn. wsadu</t>
  </si>
  <si>
    <t>Pon.</t>
  </si>
  <si>
    <t>Wt.</t>
  </si>
  <si>
    <t>Śr.</t>
  </si>
  <si>
    <t>Czw.</t>
  </si>
  <si>
    <t>Pt.</t>
  </si>
  <si>
    <t>Zużycie razem</t>
  </si>
  <si>
    <t>Zapas osobno</t>
  </si>
  <si>
    <t>Do zamówienia</t>
  </si>
  <si>
    <t>Jednostka zakupu</t>
  </si>
  <si>
    <t>Uwagi do zakupu</t>
  </si>
  <si>
    <t>Chleb krojony</t>
  </si>
  <si>
    <t>kromki</t>
  </si>
  <si>
    <t>bochenki ×21 kromek</t>
  </si>
  <si>
    <t>Świeże dostawy: zaokrąglenie osobno na każdy dzień. Przy 115/dzień: pon. 9, wt. 9, pt. 17 bochenków. Pozostałe dni bez chleba.</t>
  </si>
  <si>
    <t>Bułki</t>
  </si>
  <si>
    <t>Po 1 sztuce do czwartkowego śniadania dla każdego dziecka.</t>
  </si>
  <si>
    <t>Masło</t>
  </si>
  <si>
    <t>kostki ×200 g</t>
  </si>
  <si>
    <t>Cena 3 zł brutto/200 g.</t>
  </si>
  <si>
    <t>Wędlina drobiowa</t>
  </si>
  <si>
    <t>Cena 25 zł/kg przyjęta brutto.</t>
  </si>
  <si>
    <t>Parówki drobiowe</t>
  </si>
  <si>
    <t>opak. ×16 szt.</t>
  </si>
  <si>
    <t>Cena 9 zł/16 szt. przyjęta brutto; porcje po 1,5 sztuki.</t>
  </si>
  <si>
    <t>Filet z kurczaka</t>
  </si>
  <si>
    <t>80 g surowego mięsa bez panierki/dziecko.</t>
  </si>
  <si>
    <t>Mięso wieprzowe mielone</t>
  </si>
  <si>
    <t>40 g surowego mięsa/dziecko w próbnej recepturze spaghetti.</t>
  </si>
  <si>
    <t>1 szt./dziecko w środę; roboczo 7 szt./kg. Podaj dostawcy liczbę sztuk i kaliber.</t>
  </si>
  <si>
    <t>Paluszki rybne</t>
  </si>
  <si>
    <t>kartony ×5 kg</t>
  </si>
  <si>
    <t>80 g produktu z kartonu/dziecko; 140 zł netto/karton.</t>
  </si>
  <si>
    <t>Kości schabowe do wywaru</t>
  </si>
  <si>
    <t>Roboczo 3,5 kg na 20 l gotowego barszczu; nie masa jadalna.</t>
  </si>
  <si>
    <t>Porcje rosołowe do wywaru</t>
  </si>
  <si>
    <t>Roboczo 3,5 kg na 20 l gotowej pomidorowej.</t>
  </si>
  <si>
    <t>Cena robocza 1,20 zł brutto/szt.; ułamki w recepturach rozliczyć z roztrzepanego jaja.</t>
  </si>
  <si>
    <t>opak. ×1 l</t>
  </si>
  <si>
    <t>Mleko do budyniu, płatków i ciasta naleśnikowego.</t>
  </si>
  <si>
    <t>Jogurt — baza mieszanki i farszu</t>
  </si>
  <si>
    <t>opak. ×10 l</t>
  </si>
  <si>
    <t>Baza 48 zł/10 l; przyjęto 1 l≈1 kg. Do jogurtu z dżemem, musu i nadzienia.</t>
  </si>
  <si>
    <t>Jogurt naturalny do mizerii</t>
  </si>
  <si>
    <t>Cena 6 zł netto/kg nadal szacunkowa; jeśli to ta sama baza, skorygować cenę i połączyć zakup.</t>
  </si>
  <si>
    <t>Twaróg</t>
  </si>
  <si>
    <t>60 g samego twarogu na 2 naleśniki/dziecko.</t>
  </si>
  <si>
    <t>Serek śmietankowy</t>
  </si>
  <si>
    <t>40 g/dziecko na piątkowy podwieczorek.</t>
  </si>
  <si>
    <t>Śmietanka do brokułowej</t>
  </si>
  <si>
    <t>15 ml/dziecko to wcześniejsze założenie; produkt i dawka jeszcze do potwierdzenia.</t>
  </si>
  <si>
    <t>Roboczo po 1,5 l/20 l gotowego barszczu i pomidorowej.</t>
  </si>
  <si>
    <t>Dżem</t>
  </si>
  <si>
    <t>wiaderka ×3,5 kg</t>
  </si>
  <si>
    <t>Proporcja do jogurtu: 1,5 kg/10 l bazy. Cena 32 zł przyjęta brutto.</t>
  </si>
  <si>
    <t>Do panierowania kurczaka i ciasta naleśnikowego; cena nadal szacunkowa.</t>
  </si>
  <si>
    <t>Bułka tarta</t>
  </si>
  <si>
    <t>Panierka kurczaka — ilość robocza do kontroli przy produkcji.</t>
  </si>
  <si>
    <t>Ryż suchy</t>
  </si>
  <si>
    <t>opak. ×5 kg</t>
  </si>
  <si>
    <t>Do obiadu wydajność roboczo 3×; ryżanka 12 g suchego/dziecko. Cena 31 zł netto/5 kg.</t>
  </si>
  <si>
    <t>Kasza jęczmienna sucha</t>
  </si>
  <si>
    <t>Krupnik roboczo 400 g/10 l gotowej zupy.</t>
  </si>
  <si>
    <t>Makaron suchy — razem</t>
  </si>
  <si>
    <t>Spaghetti 48 g suchego/dziecko; do zup 40 g. Wydajność ugotowania 2,5× do sprawdzenia. Różne kształty rozpisane poniżej.</t>
  </si>
  <si>
    <t>Płatki kukurydziane</t>
  </si>
  <si>
    <t>30 g/dziecko; cena 12 zł NETTO/kg.</t>
  </si>
  <si>
    <t>Placuszki kupowane</t>
  </si>
  <si>
    <t>kartony ×100 szt.</t>
  </si>
  <si>
    <t>3 szt./dziecko; karton 75 zł przyjęty roboczo brutto.</t>
  </si>
  <si>
    <t>Ciasto drożdżowe</t>
  </si>
  <si>
    <t>kartony ×10 bochenków</t>
  </si>
  <si>
    <t>2 plasterki/dziecko; roboczo 15 plastrów z bochenka 900 g. Karton 9 kg za 128 zł netto.</t>
  </si>
  <si>
    <t>Herbatniki</t>
  </si>
  <si>
    <t>szt. / do wagi</t>
  </si>
  <si>
    <t>2 szt./dziecko w poniedziałek; roboczo 14 g/2 szt. Masa do sprawdzenia.</t>
  </si>
  <si>
    <t>Budyń — proszek bez cukru</t>
  </si>
  <si>
    <t>Roboczo 12 g/dziecko; sprawdzić dozowanie i skład produktu.</t>
  </si>
  <si>
    <t>Galaretka — proszek</t>
  </si>
  <si>
    <t>opak. ×1 kg</t>
  </si>
  <si>
    <t>1 kg daje 5 l gotowej galaretki; do porcji 200 g roboczo 40 g proszku.</t>
  </si>
  <si>
    <t>Cukier</t>
  </si>
  <si>
    <t>Do budyniu i nadzienia naleśników według próbnych receptur.</t>
  </si>
  <si>
    <t>Łącznie według receptur; niektóre ilości szacunkowe.</t>
  </si>
  <si>
    <t>Koncentrat pomidorowy</t>
  </si>
  <si>
    <t>Spaghetti 10 g i pomidorowa 25 g/dziecko to dawki robocze.</t>
  </si>
  <si>
    <t>Ketchup</t>
  </si>
  <si>
    <t>10 g/dziecko do parówek.</t>
  </si>
  <si>
    <t>Ziemniaki kupowane obrane</t>
  </si>
  <si>
    <t>worki ×5 kg</t>
  </si>
  <si>
    <t>Cena 23 zł/5 kg przyjęta brutto. Wydajność gotowania/pieczenia roboczo 100% — sprawdzić.</t>
  </si>
  <si>
    <t>Mrożonka do barszczu</t>
  </si>
  <si>
    <t>opak. ×2,5 kg</t>
  </si>
  <si>
    <t>5 kg na 20 l gotowej zupy; cena 20 zł/2,5 kg przyjęta brutto.</t>
  </si>
  <si>
    <t>Surówka wiosenna kupowana</t>
  </si>
  <si>
    <t>40 g/dziecko; 8 zł netto/kg.</t>
  </si>
  <si>
    <t>Brokuły do zupy</t>
  </si>
  <si>
    <t>50 g/dziecko to założenie; cena szacunkowa.</t>
  </si>
  <si>
    <t>kg — minimum</t>
  </si>
  <si>
    <t>Część ilości to masa przygotowana, część uwzględnia obieranie. Skorygować zakup według rzeczywistych ubytków.</t>
  </si>
  <si>
    <t>Ogórek</t>
  </si>
  <si>
    <t>Mizeria i warzywa do kanapek: masa części przygotowanej do podania; dodać realny ubytek obierania.</t>
  </si>
  <si>
    <t>Papryka</t>
  </si>
  <si>
    <t>30 g oczyszczonej/dziecko; do zakupu doliczyć usunięte gniazda nasienne.</t>
  </si>
  <si>
    <t>Pietruszka korzeniowa</t>
  </si>
  <si>
    <t>Warzywa do zup; ceny i ubytki przygotowania nadal szacunkowe.</t>
  </si>
  <si>
    <t>Seler korzeniowy</t>
  </si>
  <si>
    <t>Próbna receptura spaghetti; dawka do potwierdzenia.</t>
  </si>
  <si>
    <t>Rzodkiewka i biała rzodkiew</t>
  </si>
  <si>
    <t>Łącznie 30 g/dziecko w piątek, podział nieustalony.</t>
  </si>
  <si>
    <t>Banany ZE SKÓRKĄ</t>
  </si>
  <si>
    <t>50 g miąższu/dziecko; zakup 75 g przy roboczej wydajności obierania 2/3.</t>
  </si>
  <si>
    <t>Mandarynki</t>
  </si>
  <si>
    <t>1 szt./dziecko; do kosztów przyjęto 100 g ze skórką/szt., do sprawdzenia.</t>
  </si>
  <si>
    <t>puszki</t>
  </si>
  <si>
    <t>puszki ×820 g</t>
  </si>
  <si>
    <t>470 g po odsączeniu/puszka. 30 g odsączonych owoców na mus/dziecko; 7,91 zł netto/puszka.</t>
  </si>
  <si>
    <t>MAKARON — PODZIAŁ NA KSZTAŁTY</t>
  </si>
  <si>
    <t>Spaghetti — wtorek</t>
  </si>
  <si>
    <t>kg suchego</t>
  </si>
  <si>
    <t>Kolanka — środa</t>
  </si>
  <si>
    <t>Świderki — piątek</t>
  </si>
  <si>
    <t>PRZYPRAWY I WODA</t>
  </si>
  <si>
    <t>Przyprawy w dotychczasowej wycenie są ryczałtem kosztowym, a nie gramaturą do zamówienia. Sprawdź zapas soli, pieprzu i używanych przypraw według receptur. Woda do ciasta i uzupełniania zup jest kosztem mediów, nie pozycją zakupu żywności.</t>
  </si>
  <si>
    <t>Świeże warzywa: część gramatur dotyczy części jadalnej. Nie znamy rzeczywistych ubytków obierania — podane kilogramy są minimalnym wsadem i wymagają korekty zakupowej. Nie dodano drugiego, ukrytego procentu strat.</t>
  </si>
  <si>
    <t>Receptury zup, sosu spaghetti i naleśników zawierają założenia do sprawdzenia przy pierwszej produkcji. Lista nie stanowi zatwierdzenia bilansu żywieniowego ani alergenów kupowanych produktów.</t>
  </si>
  <si>
    <t>KONTROLA SKŁADÓW I ALERGENÓW - PRZEDSZKOLE</t>
  </si>
  <si>
    <t>Zakres</t>
  </si>
  <si>
    <t>Poprawione</t>
  </si>
  <si>
    <t>Pozostałe dane do uzupełnienia</t>
  </si>
  <si>
    <t>Pieczywo, kanapki i parówki</t>
  </si>
  <si>
    <t>Dodano brakującą paprykę i warzywa. Usunięto niepotwierdzone 70 g chleba. Zamiast wędliny we wtorek wpisano parówki i ketchup.</t>
  </si>
  <si>
    <t>Pełny skład i alergeny pieczywa, wędliny, parówek i ketchupu. 1,5 kromki pozostaje jednostką porcji do zważenia.</t>
  </si>
  <si>
    <t>Placuszki i ciasto drożdżowe</t>
  </si>
  <si>
    <t>Usunięto opisy zakupowe i techniczne z widoku jadłospisu. Zachowano porcje 3 placuszki oraz 2 plasterki ciasta.</t>
  </si>
  <si>
    <t>Pełne składy i alergeny produktów gotowych wymagają etykiet. W jadłospisie nie wymyślano nieznanych składników ciasta i placuszków.</t>
  </si>
  <si>
    <t>Krupnik i ryżanka</t>
  </si>
  <si>
    <t>W krupniku uwzględniono jęczmień i seler. Usunięto niewynikające z opisanej receptury pszenicę, żyto, mleko i jaja. Zachowano wywar warzywny jak w źródle.</t>
  </si>
  <si>
    <t>Potwierdzić rzeczywisty wywar i przyprawy. Marchew w krupniku: opis źródłowy 15 g, kalkulacja 25 g; nie zmieniono kalkulacji.</t>
  </si>
  <si>
    <t>Barszcz, pomidorowa i brokułowa</t>
  </si>
  <si>
    <t>Uproszczono opisy. Zachowano ustalone wywary i zabielanie. W barszczu skład mieszanki nie został wymyślony.</t>
  </si>
  <si>
    <t>Etykiety mieszanki do barszczu, Vegetopu, śmietanki, makaronu i dodatków do wywaru. Barszcz nie ma jeszcze kompletnego wykazu alergenów.</t>
  </si>
  <si>
    <t>Kurczak w panierce</t>
  </si>
  <si>
    <t>Dodano mąkę, jaja, bułkę tartą, olej, ryż, ogórek i jogurt. Alergeny odpowiadają składnikom: pszenica, mleko, jaja.</t>
  </si>
  <si>
    <t>Etykieta bułki tartej i używanych dodatków. 80 g dotyczy surowego fileta bez masy panierki, nie gotowego kąska.</t>
  </si>
  <si>
    <t>Spaghetti i pałka</t>
  </si>
  <si>
    <t>Zachowano PRZEDSZKOLNE porcje 120 g makaronu +80 g sosu oraz 1 pałkę. Nie przenoszono zmian ze szkoły.</t>
  </si>
  <si>
    <t>Skład makaronu, mieszanek przypraw i rzeczywiste dodatki do surówki; wydajność sosu i masa pałki.</t>
  </si>
  <si>
    <t>Paluszki i surówka wiosenna</t>
  </si>
  <si>
    <t>Skład odpowiada nazwie. Usunięto wzmiankę o kupowanej surówce; ryby wpisano jako znany alergen.</t>
  </si>
  <si>
    <t>Pełne składy i alergeny paluszków w panierce oraz surówki. Sam zapis ryby nie jest kompletnym zatwierdzeniem alergenów tego posiłku.</t>
  </si>
  <si>
    <t>Desery i nabiał</t>
  </si>
  <si>
    <t>W jogurcie uwzględniono dżem i herbatniki zamiast dopisanych świeżych owoców. Usunięto przypadkowe alergeny niepotwierdzone etykietami.</t>
  </si>
  <si>
    <t>Etykiety herbatników, dżemu, budyniu, galaretki i nabiału. Pełny wykaz alergenów herbatników jest jeszcze nieznany.</t>
  </si>
  <si>
    <t>Kolor i termin</t>
  </si>
  <si>
    <t>Pola potraw mają jedno neutralne, kremowe tło. Data 2.11–6.11 zgodna z przygotowywanym tygodniem. Kolor w menu nie oznacza teraz kosztu.</t>
  </si>
  <si>
    <t>Formatowanie i dane kosztów w zakładce Wycena zachowano. Przed wysyłką zamknąć powyższe braki dotyczące składów i alergenów.</t>
  </si>
  <si>
    <t>Klasyfikacja alergenów: załącznik II rozporządzenia 1169/2011. Skład konkretnego produktu ustala się z jego aktualnej etykiety.</t>
  </si>
  <si>
    <t>https://eur-lex.europa.eu/eli/reg/2011/1169/oj?locale=pl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</si>
</sst>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"/>
    <numFmt numFmtId="166" formatCode="0.0"/>
    <numFmt numFmtId="167" formatCode="0.0000"/>
  </numFmts>
  <fonts count="12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6"/>
      <color rgb="FFFFFFFF"/>
      <name val="Calibri"/>
    </font>
    <font>
      <b/>
      <sz val="12"/>
      <name val="Calibri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457A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204E6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u/>
      <sz val="10.5"/>
      <name val="Calibri"/>
    </font>
  </fonts>
  <fills count="38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9EAF7"/>
      </patternFill>
    </fill>
    <fill>
      <patternFill patternType="solid">
        <fgColor rgb="FF172A25"/>
      </patternFill>
    </fill>
    <fill>
      <patternFill patternType="solid">
        <fgColor rgb="FFD9E5DF"/>
      </patternFill>
    </fill>
    <fill>
      <patternFill patternType="solid">
        <fgColor rgb="FFE9EFEB"/>
      </patternFill>
    </fill>
    <fill>
      <patternFill patternType="solid">
        <fgColor rgb="FF172A25"/>
      </patternFill>
    </fill>
    <fill>
      <patternFill patternType="solid">
        <fgColor rgb="FFD9E5DF"/>
      </patternFill>
    </fill>
    <fill>
      <patternFill patternType="solid">
        <fgColor rgb="FFE9EFEB"/>
      </patternFill>
    </fill>
    <fill>
      <patternFill patternType="solid">
        <fgColor rgb="FFD9E5DF"/>
      </patternFill>
    </fill>
    <fill>
      <patternFill patternType="solid">
        <fgColor rgb="FF172A25"/>
      </patternFill>
    </fill>
    <fill>
      <patternFill patternType="solid">
        <fgColor rgb="FFD9E5DF"/>
      </patternFill>
    </fill>
    <fill>
      <patternFill patternType="solid">
        <fgColor rgb="FFE9EFEB"/>
      </patternFill>
    </fill>
    <fill>
      <patternFill patternType="solid">
        <fgColor rgb="FFD9E5DF"/>
      </patternFill>
    </fill>
    <fill>
      <patternFill patternType="solid">
        <fgColor rgb="FFD9E5DF"/>
      </patternFill>
    </fill>
    <fill>
      <patternFill patternType="solid">
        <fgColor rgb="FFD9E5DF"/>
      </patternFill>
    </fill>
    <fill>
      <patternFill patternType="solid">
        <fgColor rgb="FFD9E5DF"/>
      </patternFill>
    </fill>
    <fill>
      <patternFill patternType="solid">
        <fgColor rgb="FFD9E5DF"/>
      </patternFill>
    </fill>
    <fill>
      <patternFill patternType="solid">
        <fgColor rgb="FFD9E5DF"/>
      </patternFill>
    </fill>
    <fill>
      <patternFill patternType="solid">
        <fgColor rgb="FFD9E5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9E5DF"/>
      </patternFill>
    </fill>
    <fill>
      <patternFill patternType="solid">
        <fgColor rgb="FFD9E5DF"/>
      </patternFill>
    </fill>
    <fill>
      <patternFill patternType="solid">
        <fgColor rgb="FF172A25"/>
      </patternFill>
    </fill>
    <fill>
      <patternFill patternType="solid">
        <fgColor rgb="FFD9E5DF"/>
      </patternFill>
    </fill>
    <fill>
      <patternFill patternType="solid">
        <fgColor rgb="FFD9E5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8F1FB"/>
      </patternFill>
    </fill>
    <fill>
      <patternFill patternType="solid">
        <fgColor rgb="FF172A25"/>
      </patternFill>
    </fill>
    <fill>
      <patternFill patternType="solid">
        <fgColor rgb="FFD9E5DF"/>
      </patternFill>
    </fill>
    <fill>
      <patternFill patternType="solid">
        <fgColor rgb="FFF3F6F3"/>
      </patternFill>
    </fill>
    <fill>
      <patternFill patternType="solid">
        <fgColor rgb="FFFFF0B3"/>
      </patternFill>
    </fill>
    <fill>
      <patternFill patternType="solid">
        <fgColor rgb="FFFFF5E3"/>
      </patternFill>
    </fill>
    <fill>
      <patternFill patternType="solid">
        <fgColor rgb="FF204E60"/>
      </patternFill>
    </fill>
    <fill>
      <patternFill patternType="solid">
        <fgColor rgb="FFFFF2CC"/>
      </patternFill>
    </fill>
  </fills>
  <borders count="9">
    <border>
      <left/>
      <right/>
      <top/>
      <bottom/>
      <diagonal/>
    </border>
    <border>
      <left style="medium">
        <color rgb="FF6B6B6B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medium">
        <color rgb="FF6B6B6B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medium">
        <color rgb="FF6B6B6B"/>
      </top>
      <bottom style="thin">
        <color rgb="FF9E9E9E"/>
      </bottom>
      <diagonal/>
    </border>
    <border>
      <left/>
      <right style="thin">
        <color rgb="FF9E9E9E"/>
      </right>
      <top style="medium">
        <color rgb="FF6B6B6B"/>
      </top>
      <bottom style="thin">
        <color rgb="FF9E9E9E"/>
      </bottom>
      <diagonal/>
    </border>
    <border>
      <left style="medium">
        <color rgb="FF6B6B6B"/>
      </left>
      <right style="thin">
        <color rgb="FF9E9E9E"/>
      </right>
      <top style="thin">
        <color rgb="FF9E9E9E"/>
      </top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3" borderId="1" xfId="0" applyFill="1" applyBorder="1"/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9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5" borderId="0" xfId="0" applyFont="1" applyFill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6" fillId="6" borderId="0" xfId="0" applyFont="1" applyFill="1" applyAlignment="1">
      <alignment vertical="center" wrapText="1"/>
    </xf>
    <xf numFmtId="2" fontId="6" fillId="6" borderId="0" xfId="0" applyNumberFormat="1" applyFont="1" applyFill="1" applyAlignment="1">
      <alignment vertical="center" wrapText="1"/>
    </xf>
    <xf numFmtId="164" fontId="6" fillId="6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8" borderId="0" xfId="0" applyFont="1" applyFill="1" applyAlignment="1">
      <alignment vertical="center" wrapText="1"/>
    </xf>
    <xf numFmtId="0" fontId="6" fillId="9" borderId="0" xfId="0" applyFont="1" applyFill="1" applyAlignment="1">
      <alignment vertical="center"/>
    </xf>
    <xf numFmtId="2" fontId="6" fillId="9" borderId="0" xfId="0" applyNumberFormat="1" applyFont="1" applyFill="1" applyAlignment="1">
      <alignment vertical="center"/>
    </xf>
    <xf numFmtId="1" fontId="4" fillId="0" borderId="0" xfId="0" applyNumberFormat="1" applyFont="1" applyAlignment="1">
      <alignment vertical="center"/>
    </xf>
    <xf numFmtId="1" fontId="6" fillId="9" borderId="0" xfId="0" applyNumberFormat="1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4" fontId="6" fillId="9" borderId="0" xfId="0" applyNumberFormat="1" applyFont="1" applyFill="1" applyAlignment="1">
      <alignment vertical="center"/>
    </xf>
    <xf numFmtId="164" fontId="6" fillId="9" borderId="0" xfId="0" applyNumberFormat="1" applyFont="1" applyFill="1" applyAlignment="1">
      <alignment vertical="center"/>
    </xf>
    <xf numFmtId="0" fontId="4" fillId="10" borderId="0" xfId="0" applyFont="1" applyFill="1" applyAlignment="1">
      <alignment vertical="center" wrapText="1"/>
    </xf>
    <xf numFmtId="0" fontId="4" fillId="12" borderId="0" xfId="0" applyFont="1" applyFill="1" applyAlignment="1">
      <alignment vertical="center"/>
    </xf>
    <xf numFmtId="0" fontId="6" fillId="13" borderId="0" xfId="0" applyFont="1" applyFill="1" applyAlignment="1">
      <alignment vertical="center"/>
    </xf>
    <xf numFmtId="1" fontId="6" fillId="13" borderId="0" xfId="0" applyNumberFormat="1" applyFont="1" applyFill="1" applyAlignment="1">
      <alignment vertical="center"/>
    </xf>
    <xf numFmtId="1" fontId="4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9" fontId="4" fillId="0" borderId="0" xfId="0" applyNumberFormat="1" applyFont="1" applyAlignment="1">
      <alignment vertical="center" wrapText="1"/>
    </xf>
    <xf numFmtId="166" fontId="4" fillId="0" borderId="0" xfId="0" applyNumberFormat="1" applyFont="1" applyAlignment="1">
      <alignment vertical="center" wrapText="1"/>
    </xf>
    <xf numFmtId="0" fontId="4" fillId="18" borderId="0" xfId="0" applyFont="1" applyFill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2" fontId="4" fillId="21" borderId="0" xfId="0" applyNumberFormat="1" applyFont="1" applyFill="1" applyAlignment="1">
      <alignment vertical="center" wrapText="1"/>
    </xf>
    <xf numFmtId="166" fontId="4" fillId="22" borderId="0" xfId="0" applyNumberFormat="1" applyFont="1" applyFill="1" applyAlignment="1">
      <alignment vertical="center" wrapText="1"/>
    </xf>
    <xf numFmtId="0" fontId="4" fillId="23" borderId="0" xfId="0" applyFont="1" applyFill="1" applyAlignment="1">
      <alignment vertical="center" wrapText="1"/>
    </xf>
    <xf numFmtId="167" fontId="4" fillId="0" borderId="0" xfId="0" applyNumberFormat="1" applyFont="1" applyAlignment="1">
      <alignment vertical="center"/>
    </xf>
    <xf numFmtId="0" fontId="4" fillId="26" borderId="0" xfId="0" applyFont="1" applyFill="1" applyAlignment="1">
      <alignment vertical="center"/>
    </xf>
    <xf numFmtId="2" fontId="4" fillId="28" borderId="0" xfId="0" applyNumberFormat="1" applyFont="1" applyFill="1" applyAlignment="1">
      <alignment vertical="center"/>
    </xf>
    <xf numFmtId="0" fontId="4" fillId="29" borderId="0" xfId="0" applyFont="1" applyFill="1" applyAlignment="1">
      <alignment vertical="center" wrapText="1"/>
    </xf>
    <xf numFmtId="1" fontId="7" fillId="30" borderId="0" xfId="0" applyNumberFormat="1" applyFont="1" applyFill="1" applyAlignment="1">
      <alignment vertical="center"/>
    </xf>
    <xf numFmtId="9" fontId="7" fillId="0" borderId="0" xfId="0" applyNumberFormat="1" applyFont="1" applyAlignment="1">
      <alignment vertical="center"/>
    </xf>
    <xf numFmtId="0" fontId="6" fillId="32" borderId="0" xfId="0" applyFont="1" applyFill="1" applyAlignment="1">
      <alignment vertical="center" wrapText="1"/>
    </xf>
    <xf numFmtId="0" fontId="4" fillId="33" borderId="0" xfId="0" applyFont="1" applyFill="1" applyAlignment="1">
      <alignment vertical="center" wrapText="1"/>
    </xf>
    <xf numFmtId="165" fontId="4" fillId="33" borderId="0" xfId="0" applyNumberFormat="1" applyFont="1" applyFill="1" applyAlignment="1">
      <alignment vertical="center" wrapText="1"/>
    </xf>
    <xf numFmtId="1" fontId="4" fillId="33" borderId="0" xfId="0" applyNumberFormat="1" applyFont="1" applyFill="1" applyAlignment="1">
      <alignment vertical="center" wrapText="1"/>
    </xf>
    <xf numFmtId="166" fontId="4" fillId="33" borderId="0" xfId="0" applyNumberFormat="1" applyFont="1" applyFill="1" applyAlignment="1">
      <alignment vertical="center" wrapText="1"/>
    </xf>
    <xf numFmtId="0" fontId="4" fillId="0" borderId="0" xfId="0" applyFont="1" applyAlignment="1">
      <alignment horizontal="right" vertical="center"/>
    </xf>
    <xf numFmtId="0" fontId="3" fillId="35" borderId="3" xfId="0" applyFont="1" applyFill="1" applyBorder="1" applyAlignment="1">
      <alignment horizontal="center" vertical="center" wrapText="1"/>
    </xf>
    <xf numFmtId="0" fontId="1" fillId="35" borderId="4" xfId="0" applyFont="1" applyFill="1" applyBorder="1" applyAlignment="1">
      <alignment horizontal="left" vertical="top" wrapText="1"/>
    </xf>
    <xf numFmtId="0" fontId="3" fillId="35" borderId="7" xfId="0" applyFont="1" applyFill="1" applyBorder="1" applyAlignment="1">
      <alignment horizontal="center" vertical="center" wrapText="1"/>
    </xf>
    <xf numFmtId="0" fontId="1" fillId="35" borderId="8" xfId="0" applyFont="1" applyFill="1" applyBorder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top" wrapText="1"/>
    </xf>
    <xf numFmtId="0" fontId="10" fillId="36" borderId="0" xfId="0" applyFont="1" applyFill="1" applyAlignment="1">
      <alignment vertical="top" wrapText="1"/>
    </xf>
    <xf numFmtId="0" fontId="8" fillId="37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5" fillId="4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5" fillId="7" borderId="0" xfId="0" applyFont="1" applyFill="1" applyAlignment="1">
      <alignment vertical="center"/>
    </xf>
    <xf numFmtId="0" fontId="5" fillId="11" borderId="0" xfId="0" applyFont="1" applyFill="1" applyAlignment="1">
      <alignment vertical="center"/>
    </xf>
    <xf numFmtId="0" fontId="6" fillId="34" borderId="0" xfId="0" applyFont="1" applyFill="1" applyAlignment="1">
      <alignment vertical="center"/>
    </xf>
    <xf numFmtId="0" fontId="4" fillId="14" borderId="0" xfId="0" applyFont="1" applyFill="1" applyAlignment="1">
      <alignment vertical="center" wrapText="1"/>
    </xf>
    <xf numFmtId="0" fontId="4" fillId="15" borderId="0" xfId="0" applyFont="1" applyFill="1" applyAlignment="1">
      <alignment vertical="center"/>
    </xf>
    <xf numFmtId="0" fontId="4" fillId="16" borderId="0" xfId="0" applyFont="1" applyFill="1" applyAlignment="1">
      <alignment vertical="center"/>
    </xf>
    <xf numFmtId="0" fontId="4" fillId="17" borderId="0" xfId="0" applyFont="1" applyFill="1" applyAlignment="1">
      <alignment vertical="center" wrapText="1"/>
    </xf>
    <xf numFmtId="0" fontId="4" fillId="19" borderId="0" xfId="0" applyFont="1" applyFill="1" applyAlignment="1">
      <alignment vertical="center" wrapText="1"/>
    </xf>
    <xf numFmtId="0" fontId="4" fillId="20" borderId="0" xfId="0" applyFont="1" applyFill="1" applyAlignment="1">
      <alignment vertical="center" wrapText="1"/>
    </xf>
    <xf numFmtId="0" fontId="4" fillId="24" borderId="0" xfId="0" applyFont="1" applyFill="1" applyAlignment="1">
      <alignment vertical="center" wrapText="1"/>
    </xf>
    <xf numFmtId="0" fontId="4" fillId="27" borderId="0" xfId="0" applyFont="1" applyFill="1" applyAlignment="1">
      <alignment vertical="center" wrapText="1"/>
    </xf>
    <xf numFmtId="0" fontId="5" fillId="25" borderId="0" xfId="0" applyFont="1" applyFill="1" applyAlignment="1">
      <alignment vertical="center" wrapText="1"/>
    </xf>
    <xf numFmtId="0" fontId="5" fillId="31" borderId="0" xfId="0" applyFont="1" applyFill="1" applyAlignment="1">
      <alignment vertical="center" wrapText="1"/>
    </xf>
    <xf numFmtId="0" fontId="4" fillId="32" borderId="0" xfId="0" applyFont="1" applyFill="1" applyAlignment="1">
      <alignment vertical="center" wrapText="1"/>
    </xf>
  </cellXfs>
  <cellStyles count="1">
    <cellStyle name="Normalny" xfId="0" builtinId="0"/>
  </cellStyles>
  <dxfs count="6">
    <dxf>
      <fill>
        <patternFill>
          <bgColor rgb="FFFAD4D2"/>
        </patternFill>
      </fill>
    </dxf>
    <dxf>
      <fill>
        <patternFill>
          <bgColor rgb="FFFFF0B3"/>
        </patternFill>
      </fill>
    </dxf>
    <dxf>
      <fill>
        <patternFill>
          <bgColor rgb="FFDDF0DF"/>
        </patternFill>
      </fill>
    </dxf>
    <dxf>
      <fill>
        <patternFill>
          <bgColor rgb="FFFAD4D2"/>
        </patternFill>
      </fill>
    </dxf>
    <dxf>
      <fill>
        <patternFill>
          <bgColor rgb="FFFFF0B3"/>
        </patternFill>
      </fill>
    </dxf>
    <dxf>
      <fill>
        <patternFill>
          <bgColor rgb="FFDDF0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1547813</xdr:colOff>
      <xdr:row>3</xdr:row>
      <xdr:rowOff>1847850</xdr:rowOff>
    </xdr:to>
    <xdr:sp macro="" textlink="">
      <xdr:nvSpPr>
        <xdr:cNvPr id="1045" name="Text Box 21" hidden="1">
          <a:extLst>
            <a:ext uri="{FF2B5EF4-FFF2-40B4-BE49-F238E27FC236}">
              <a16:creationId xmlns:a16="http://schemas.microsoft.com/office/drawing/2014/main" id="{5F381D59-5E8F-78CF-7A5F-FC312CB1966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4762500" cy="476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showGridLines="0" tabSelected="1" topLeftCell="A2" workbookViewId="0">
      <selection sqref="A1:F1"/>
    </sheetView>
  </sheetViews>
  <sheetFormatPr defaultRowHeight="14.25" x14ac:dyDescent="0.45"/>
  <cols>
    <col min="1" max="1" width="14" customWidth="1"/>
    <col min="2" max="6" width="31" customWidth="1"/>
  </cols>
  <sheetData>
    <row r="1" spans="1:6" ht="34.049999999999997" customHeight="1" x14ac:dyDescent="0.45">
      <c r="A1" s="62" t="s">
        <v>7</v>
      </c>
      <c r="B1" s="63"/>
      <c r="C1" s="63"/>
      <c r="D1" s="63"/>
      <c r="E1" s="63"/>
      <c r="F1" s="64"/>
    </row>
    <row r="2" spans="1:6" ht="26" customHeight="1" x14ac:dyDescent="0.4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70" customHeight="1" x14ac:dyDescent="0.45">
      <c r="A3" s="53" t="s">
        <v>8</v>
      </c>
      <c r="B3" s="54" t="s">
        <v>9</v>
      </c>
      <c r="C3" s="54" t="s">
        <v>10</v>
      </c>
      <c r="D3" s="54" t="s">
        <v>11</v>
      </c>
      <c r="E3" s="54" t="s">
        <v>12</v>
      </c>
      <c r="F3" s="54" t="s">
        <v>13</v>
      </c>
    </row>
    <row r="4" spans="1:6" ht="170" customHeight="1" x14ac:dyDescent="0.45">
      <c r="A4" s="53" t="s">
        <v>14</v>
      </c>
      <c r="B4" s="54" t="s">
        <v>15</v>
      </c>
      <c r="C4" s="54" t="s">
        <v>16</v>
      </c>
      <c r="D4" s="54" t="s">
        <v>17</v>
      </c>
      <c r="E4" s="54" t="s">
        <v>18</v>
      </c>
      <c r="F4" s="54" t="s">
        <v>19</v>
      </c>
    </row>
    <row r="5" spans="1:6" ht="190.05" customHeight="1" x14ac:dyDescent="0.45">
      <c r="A5" s="53" t="s">
        <v>20</v>
      </c>
      <c r="B5" s="54" t="s">
        <v>21</v>
      </c>
      <c r="C5" s="54" t="s">
        <v>22</v>
      </c>
      <c r="D5" s="54" t="s">
        <v>23</v>
      </c>
      <c r="E5" s="54" t="s">
        <v>24</v>
      </c>
      <c r="F5" s="54" t="s">
        <v>25</v>
      </c>
    </row>
    <row r="6" spans="1:6" ht="170" customHeight="1" x14ac:dyDescent="0.45">
      <c r="A6" s="55" t="s">
        <v>26</v>
      </c>
      <c r="B6" s="56" t="s">
        <v>27</v>
      </c>
      <c r="C6" s="56" t="s">
        <v>28</v>
      </c>
      <c r="D6" s="56" t="s">
        <v>29</v>
      </c>
      <c r="E6" s="56" t="s">
        <v>30</v>
      </c>
      <c r="F6" s="56" t="s">
        <v>31</v>
      </c>
    </row>
  </sheetData>
  <mergeCells count="1">
    <mergeCell ref="A1:F1"/>
  </mergeCells>
  <pageMargins left="0.7" right="0.7" top="0.75" bottom="0.75" header="0.3" footer="0.3"/>
  <pageSetup paperSize="9" scale="62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0"/>
  <sheetViews>
    <sheetView showGridLines="0" workbookViewId="0">
      <pane ySplit="15" topLeftCell="A16" activePane="bottomLeft" state="frozen"/>
      <selection pane="bottomLeft"/>
    </sheetView>
  </sheetViews>
  <sheetFormatPr defaultRowHeight="14.25" x14ac:dyDescent="0.45"/>
  <cols>
    <col min="1" max="1" width="18" customWidth="1"/>
    <col min="2" max="2" width="17" customWidth="1"/>
    <col min="3" max="3" width="31" customWidth="1"/>
    <col min="4" max="4" width="16" customWidth="1"/>
    <col min="5" max="6" width="17" customWidth="1"/>
    <col min="7" max="7" width="14" customWidth="1"/>
    <col min="8" max="8" width="18" customWidth="1"/>
    <col min="9" max="9" width="17" customWidth="1"/>
    <col min="10" max="10" width="70" customWidth="1"/>
  </cols>
  <sheetData>
    <row r="1" spans="1:14" ht="32" customHeight="1" x14ac:dyDescent="0.45">
      <c r="A1" s="65" t="s">
        <v>32</v>
      </c>
      <c r="B1" s="65"/>
      <c r="C1" s="65"/>
      <c r="D1" s="65"/>
      <c r="E1" s="65"/>
      <c r="F1" s="65"/>
      <c r="G1" s="65"/>
      <c r="H1" s="65"/>
      <c r="I1" s="65"/>
      <c r="J1" s="65"/>
      <c r="K1" s="3"/>
      <c r="L1" s="3"/>
      <c r="M1" s="3"/>
      <c r="N1" s="3"/>
    </row>
    <row r="2" spans="1:14" ht="65" customHeight="1" x14ac:dyDescent="0.45">
      <c r="A2" s="66" t="s">
        <v>33</v>
      </c>
      <c r="B2" s="66"/>
      <c r="C2" s="66"/>
      <c r="D2" s="66"/>
      <c r="E2" s="66"/>
      <c r="F2" s="66"/>
      <c r="G2" s="66"/>
      <c r="H2" s="66"/>
      <c r="I2" s="66"/>
      <c r="J2" s="66"/>
      <c r="K2" s="3"/>
      <c r="L2" s="3"/>
      <c r="M2" s="3"/>
      <c r="N2" s="3"/>
    </row>
    <row r="3" spans="1:14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30" customHeight="1" x14ac:dyDescent="0.45">
      <c r="A4" s="3" t="s">
        <v>34</v>
      </c>
      <c r="B4" s="3">
        <v>20</v>
      </c>
      <c r="C4" s="3" t="s">
        <v>35</v>
      </c>
      <c r="D4" s="3">
        <v>7</v>
      </c>
      <c r="E4" s="3"/>
      <c r="F4" s="66" t="s">
        <v>36</v>
      </c>
      <c r="G4" s="66"/>
      <c r="H4" s="66"/>
      <c r="I4" s="66"/>
      <c r="J4" s="66"/>
      <c r="K4" s="3"/>
      <c r="L4" s="3"/>
      <c r="M4" s="3"/>
      <c r="N4" s="3"/>
    </row>
    <row r="5" spans="1:14" ht="30" customHeight="1" x14ac:dyDescent="0.45">
      <c r="A5" s="3" t="s">
        <v>37</v>
      </c>
      <c r="B5" s="5">
        <v>0.05</v>
      </c>
      <c r="C5" s="3" t="s">
        <v>38</v>
      </c>
      <c r="D5" s="3">
        <v>8</v>
      </c>
      <c r="E5" s="3"/>
      <c r="F5" s="66"/>
      <c r="G5" s="66"/>
      <c r="H5" s="66"/>
      <c r="I5" s="66"/>
      <c r="J5" s="66"/>
      <c r="K5" s="3"/>
      <c r="L5" s="3"/>
      <c r="M5" s="3"/>
      <c r="N5" s="3"/>
    </row>
    <row r="6" spans="1:14" x14ac:dyDescent="0.4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36" customHeight="1" x14ac:dyDescent="0.45">
      <c r="A7" s="8" t="s">
        <v>39</v>
      </c>
      <c r="B7" s="8" t="s">
        <v>40</v>
      </c>
      <c r="C7" s="8" t="s">
        <v>5</v>
      </c>
      <c r="D7" s="8" t="s">
        <v>41</v>
      </c>
      <c r="E7" s="8" t="s">
        <v>6</v>
      </c>
      <c r="F7" s="8" t="s">
        <v>42</v>
      </c>
      <c r="G7" s="8" t="s">
        <v>43</v>
      </c>
      <c r="H7" s="8" t="s">
        <v>44</v>
      </c>
      <c r="I7" s="8" t="s">
        <v>45</v>
      </c>
      <c r="J7" s="8" t="s">
        <v>46</v>
      </c>
      <c r="K7" s="3"/>
      <c r="L7" s="3"/>
      <c r="M7" s="3"/>
      <c r="N7" s="3"/>
    </row>
    <row r="8" spans="1:14" ht="32" customHeight="1" x14ac:dyDescent="0.45">
      <c r="A8" s="4" t="s">
        <v>0</v>
      </c>
      <c r="B8" s="9">
        <f>F16</f>
        <v>1.1594285714285715</v>
      </c>
      <c r="C8" s="9">
        <f>F17</f>
        <v>0.72604999999999997</v>
      </c>
      <c r="D8" s="9">
        <f>F18</f>
        <v>2.6304999999999996</v>
      </c>
      <c r="E8" s="9">
        <f>F19</f>
        <v>1.25</v>
      </c>
      <c r="F8" s="9">
        <f>SUM(B8:E8)</f>
        <v>5.7659785714285707</v>
      </c>
      <c r="G8" s="10">
        <f>F8/$B$4</f>
        <v>0.28829892857142853</v>
      </c>
      <c r="H8" s="9">
        <f>$B$4-F8</f>
        <v>14.234021428571429</v>
      </c>
      <c r="I8" s="4" t="str">
        <f>IF(ROUND(F8,2)&lt;=$D$4,"KORZYSTNIE",IF(ROUND(F8,2)&lt;=$D$5,"ŚREDNIO","DROGO"))</f>
        <v>KORZYSTNIE</v>
      </c>
      <c r="J8" s="4" t="e">
        <f>TEXT(F8*0.8,"0.00")&amp;"–"&amp;TEXT(F8*1.2,"0.00")</f>
        <v>#VALUE!</v>
      </c>
      <c r="K8" s="3"/>
      <c r="L8" s="3"/>
      <c r="M8" s="3"/>
      <c r="N8" s="3"/>
    </row>
    <row r="9" spans="1:14" ht="32" customHeight="1" x14ac:dyDescent="0.45">
      <c r="A9" s="4" t="s">
        <v>1</v>
      </c>
      <c r="B9" s="9">
        <f>F20</f>
        <v>1.1551785714285716</v>
      </c>
      <c r="C9" s="9">
        <f>F21</f>
        <v>0.34167000000000003</v>
      </c>
      <c r="D9" s="9">
        <f>F22</f>
        <v>1.03545</v>
      </c>
      <c r="E9" s="9">
        <f>F23</f>
        <v>1.1375999999999999</v>
      </c>
      <c r="F9" s="9">
        <f>SUM(B9:E9)</f>
        <v>3.6698985714285715</v>
      </c>
      <c r="G9" s="10">
        <f>F9/$B$4</f>
        <v>0.18349492857142857</v>
      </c>
      <c r="H9" s="9">
        <f>$B$4-F9</f>
        <v>16.330101428571428</v>
      </c>
      <c r="I9" s="4" t="str">
        <f>IF(ROUND(F9,2)&lt;=$D$4,"KORZYSTNIE",IF(ROUND(F9,2)&lt;=$D$5,"ŚREDNIO","DROGO"))</f>
        <v>KORZYSTNIE</v>
      </c>
      <c r="J9" s="4" t="e">
        <f>TEXT(F9*0.8,"0.00")&amp;"–"&amp;TEXT(F9*1.2,"0.00")</f>
        <v>#VALUE!</v>
      </c>
      <c r="K9" s="3"/>
      <c r="L9" s="3"/>
      <c r="M9" s="3"/>
      <c r="N9" s="3"/>
    </row>
    <row r="10" spans="1:14" ht="32" customHeight="1" x14ac:dyDescent="0.45">
      <c r="A10" s="4" t="s">
        <v>2</v>
      </c>
      <c r="B10" s="9">
        <f>F24</f>
        <v>2.3304968944099378</v>
      </c>
      <c r="C10" s="9">
        <f>F25</f>
        <v>1.1508</v>
      </c>
      <c r="D10" s="9">
        <f>F26</f>
        <v>2.1613499999999997</v>
      </c>
      <c r="E10" s="9">
        <f>F27</f>
        <v>1.7919999999999998</v>
      </c>
      <c r="F10" s="9">
        <f>SUM(B10:E10)</f>
        <v>7.4346468944099371</v>
      </c>
      <c r="G10" s="10">
        <f>F10/$B$4</f>
        <v>0.37173234472049688</v>
      </c>
      <c r="H10" s="9">
        <f>$B$4-F10</f>
        <v>12.565353105590063</v>
      </c>
      <c r="I10" s="4" t="str">
        <f>IF(ROUND(F10,2)&lt;=$D$4,"KORZYSTNIE",IF(ROUND(F10,2)&lt;=$D$5,"ŚREDNIO","DROGO"))</f>
        <v>ŚREDNIO</v>
      </c>
      <c r="J10" s="4" t="e">
        <f>TEXT(F10*0.8,"0.00")&amp;"–"&amp;TEXT(F10*1.2,"0.00")</f>
        <v>#VALUE!</v>
      </c>
      <c r="K10" s="3"/>
      <c r="L10" s="3"/>
      <c r="M10" s="3"/>
      <c r="N10" s="3"/>
    </row>
    <row r="11" spans="1:14" ht="32" customHeight="1" x14ac:dyDescent="0.45">
      <c r="A11" s="4" t="s">
        <v>3</v>
      </c>
      <c r="B11" s="9">
        <f>F28</f>
        <v>1.333</v>
      </c>
      <c r="C11" s="9">
        <f>F29</f>
        <v>1.4865499999999998</v>
      </c>
      <c r="D11" s="9">
        <f>F30</f>
        <v>3.3828000000000005</v>
      </c>
      <c r="E11" s="9">
        <f>F31</f>
        <v>1.1888888888888889</v>
      </c>
      <c r="F11" s="9">
        <f>SUM(B11:E11)</f>
        <v>7.3912388888888891</v>
      </c>
      <c r="G11" s="10">
        <f>F11/$B$4</f>
        <v>0.36956194444444446</v>
      </c>
      <c r="H11" s="9">
        <f>$B$4-F11</f>
        <v>12.608761111111111</v>
      </c>
      <c r="I11" s="4" t="str">
        <f>IF(ROUND(F11,2)&lt;=$D$4,"KORZYSTNIE",IF(ROUND(F11,2)&lt;=$D$5,"ŚREDNIO","DROGO"))</f>
        <v>ŚREDNIO</v>
      </c>
      <c r="J11" s="4" t="e">
        <f>TEXT(F11*0.8,"0.00")&amp;"–"&amp;TEXT(F11*1.2,"0.00")</f>
        <v>#VALUE!</v>
      </c>
      <c r="K11" s="3"/>
      <c r="L11" s="3"/>
      <c r="M11" s="3"/>
      <c r="N11" s="3"/>
    </row>
    <row r="12" spans="1:14" ht="32" customHeight="1" x14ac:dyDescent="0.45">
      <c r="A12" s="4" t="s">
        <v>4</v>
      </c>
      <c r="B12" s="9">
        <f>F32</f>
        <v>2.3334285714285716</v>
      </c>
      <c r="C12" s="9">
        <f>F33</f>
        <v>1.1327999999999998</v>
      </c>
      <c r="D12" s="9">
        <f>F34</f>
        <v>2.14488829787234</v>
      </c>
      <c r="E12" s="9">
        <f>F35</f>
        <v>1.2704285714285715</v>
      </c>
      <c r="F12" s="9">
        <f>SUM(B12:E12)</f>
        <v>6.8815454407294823</v>
      </c>
      <c r="G12" s="10">
        <f>F12/$B$4</f>
        <v>0.34407727203647409</v>
      </c>
      <c r="H12" s="9">
        <f>$B$4-F12</f>
        <v>13.118454559270518</v>
      </c>
      <c r="I12" s="4" t="str">
        <f>IF(ROUND(F12,2)&lt;=$D$4,"KORZYSTNIE",IF(ROUND(F12,2)&lt;=$D$5,"ŚREDNIO","DROGO"))</f>
        <v>KORZYSTNIE</v>
      </c>
      <c r="J12" s="4" t="e">
        <f>TEXT(F12*0.8,"0.00")&amp;"–"&amp;TEXT(F12*1.2,"0.00")</f>
        <v>#VALUE!</v>
      </c>
      <c r="K12" s="3"/>
      <c r="L12" s="3"/>
      <c r="M12" s="3"/>
      <c r="N12" s="3"/>
    </row>
    <row r="13" spans="1:14" ht="32" customHeight="1" x14ac:dyDescent="0.45">
      <c r="A13" s="11" t="s">
        <v>47</v>
      </c>
      <c r="B13" s="12">
        <f t="shared" ref="B13:H13" si="0">AVERAGE(B8:B12)</f>
        <v>1.6623065217391306</v>
      </c>
      <c r="C13" s="12">
        <f t="shared" si="0"/>
        <v>0.96757399999999993</v>
      </c>
      <c r="D13" s="12">
        <f t="shared" si="0"/>
        <v>2.2709976595744683</v>
      </c>
      <c r="E13" s="12">
        <f t="shared" si="0"/>
        <v>1.3277834920634919</v>
      </c>
      <c r="F13" s="12">
        <f t="shared" si="0"/>
        <v>6.2286616733770908</v>
      </c>
      <c r="G13" s="13">
        <f t="shared" si="0"/>
        <v>0.31143308366885447</v>
      </c>
      <c r="H13" s="12">
        <f t="shared" si="0"/>
        <v>13.77133832662291</v>
      </c>
      <c r="I13" s="11"/>
      <c r="J13" s="11"/>
      <c r="K13" s="3"/>
      <c r="L13" s="3"/>
      <c r="M13" s="3"/>
      <c r="N13" s="3"/>
    </row>
    <row r="14" spans="1:14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3"/>
      <c r="L14" s="3"/>
      <c r="M14" s="3"/>
      <c r="N14" s="3"/>
    </row>
    <row r="15" spans="1:14" ht="38" customHeight="1" x14ac:dyDescent="0.45">
      <c r="A15" s="8" t="s">
        <v>39</v>
      </c>
      <c r="B15" s="8" t="s">
        <v>48</v>
      </c>
      <c r="C15" s="8" t="s">
        <v>49</v>
      </c>
      <c r="D15" s="8" t="s">
        <v>50</v>
      </c>
      <c r="E15" s="8" t="s">
        <v>51</v>
      </c>
      <c r="F15" s="8" t="s">
        <v>52</v>
      </c>
      <c r="G15" s="8" t="s">
        <v>53</v>
      </c>
      <c r="H15" s="8" t="s">
        <v>54</v>
      </c>
      <c r="I15" s="8" t="s">
        <v>55</v>
      </c>
      <c r="J15" s="8" t="s">
        <v>56</v>
      </c>
      <c r="K15" s="3"/>
      <c r="L15" s="3"/>
      <c r="M15" s="3"/>
      <c r="N15" s="3"/>
    </row>
    <row r="16" spans="1:14" ht="108" customHeight="1" x14ac:dyDescent="0.45">
      <c r="A16" s="4" t="s">
        <v>0</v>
      </c>
      <c r="B16" s="4" t="s">
        <v>40</v>
      </c>
      <c r="C16" s="4" t="s">
        <v>57</v>
      </c>
      <c r="D16" s="9">
        <f>IF(COUNT(Składniki!H5:H8)=4,SUM(Składniki!H5:H8),NA())</f>
        <v>1.1042176870748299</v>
      </c>
      <c r="E16" s="9">
        <f t="shared" ref="E16:E35" si="1">D16*$B$5</f>
        <v>5.5210884353741496E-2</v>
      </c>
      <c r="F16" s="9">
        <f>SUM(D16:E16)</f>
        <v>1.1594285714285715</v>
      </c>
      <c r="G16" s="9">
        <f t="shared" ref="G16:G35" si="2">CHOOSE(MOD(ROW()-16,4)+1,1.6,0.9,3.2,1.3)</f>
        <v>1.6</v>
      </c>
      <c r="H16" s="9">
        <f t="shared" ref="H16:H35" si="3">F16-G16</f>
        <v>-0.44057142857142861</v>
      </c>
      <c r="I16" s="4" t="str">
        <f t="shared" ref="I16:I35" si="4">IF(F16&lt;=G16,"KORZYSTNIE",IF(F16&lt;=G16*1.2,"ŚREDNIO","DROGO"))</f>
        <v>KORZYSTNIE</v>
      </c>
      <c r="J16" s="4" t="s">
        <v>58</v>
      </c>
      <c r="K16" s="3"/>
      <c r="L16" s="3"/>
      <c r="M16" s="3"/>
      <c r="N16" s="3"/>
    </row>
    <row r="17" spans="1:14" ht="108" customHeight="1" x14ac:dyDescent="0.45">
      <c r="A17" s="4" t="s">
        <v>0</v>
      </c>
      <c r="B17" s="4" t="s">
        <v>5</v>
      </c>
      <c r="C17" s="4" t="s">
        <v>59</v>
      </c>
      <c r="D17" s="9">
        <f>IF(COUNT(Składniki!H9:H15)=7,SUM(Składniki!H9:H15),NA())</f>
        <v>0.69147619047619047</v>
      </c>
      <c r="E17" s="9">
        <f t="shared" si="1"/>
        <v>3.4573809523809527E-2</v>
      </c>
      <c r="F17" s="9">
        <f>SUM(D17:E17)</f>
        <v>0.72604999999999997</v>
      </c>
      <c r="G17" s="9">
        <f t="shared" si="2"/>
        <v>0.9</v>
      </c>
      <c r="H17" s="9">
        <f t="shared" si="3"/>
        <v>-0.17395000000000005</v>
      </c>
      <c r="I17" s="4" t="str">
        <f t="shared" si="4"/>
        <v>KORZYSTNIE</v>
      </c>
      <c r="J17" s="4" t="s">
        <v>60</v>
      </c>
      <c r="K17" s="3"/>
      <c r="L17" s="3"/>
      <c r="M17" s="3"/>
      <c r="N17" s="3"/>
    </row>
    <row r="18" spans="1:14" ht="108" customHeight="1" x14ac:dyDescent="0.45">
      <c r="A18" s="4" t="s">
        <v>0</v>
      </c>
      <c r="B18" s="4" t="s">
        <v>41</v>
      </c>
      <c r="C18" s="4" t="s">
        <v>61</v>
      </c>
      <c r="D18" s="9">
        <f>IF(COUNT(Składniki!H16:H24)=9,SUM(Składniki!H16:H24),NA())</f>
        <v>2.505238095238095</v>
      </c>
      <c r="E18" s="9">
        <f t="shared" si="1"/>
        <v>0.12526190476190477</v>
      </c>
      <c r="F18" s="9">
        <f>SUM(D18:E18)</f>
        <v>2.6304999999999996</v>
      </c>
      <c r="G18" s="9">
        <f t="shared" si="2"/>
        <v>3.2</v>
      </c>
      <c r="H18" s="9">
        <f t="shared" si="3"/>
        <v>-0.56950000000000056</v>
      </c>
      <c r="I18" s="4" t="str">
        <f t="shared" si="4"/>
        <v>KORZYSTNIE</v>
      </c>
      <c r="J18" s="4" t="s">
        <v>62</v>
      </c>
      <c r="K18" s="3"/>
      <c r="L18" s="3"/>
      <c r="M18" s="3"/>
      <c r="N18" s="3"/>
    </row>
    <row r="19" spans="1:14" ht="108" customHeight="1" x14ac:dyDescent="0.45">
      <c r="A19" s="4" t="s">
        <v>0</v>
      </c>
      <c r="B19" s="4" t="s">
        <v>6</v>
      </c>
      <c r="C19" s="4" t="s">
        <v>63</v>
      </c>
      <c r="D19" s="9">
        <f>IF(COUNT(Składniki!H25:H27)=3,SUM(Składniki!H25:H27),NA())</f>
        <v>1.1901827861579413</v>
      </c>
      <c r="E19" s="9">
        <f t="shared" si="1"/>
        <v>5.9509139307897065E-2</v>
      </c>
      <c r="F19" s="9">
        <f>ROUND(SUM(D19:E19),2)</f>
        <v>1.25</v>
      </c>
      <c r="G19" s="9">
        <f t="shared" si="2"/>
        <v>1.3</v>
      </c>
      <c r="H19" s="9">
        <f t="shared" si="3"/>
        <v>-5.0000000000000044E-2</v>
      </c>
      <c r="I19" s="4" t="str">
        <f t="shared" si="4"/>
        <v>KORZYSTNIE</v>
      </c>
      <c r="J19" s="4" t="s">
        <v>64</v>
      </c>
      <c r="K19" s="3"/>
      <c r="L19" s="3"/>
      <c r="M19" s="3"/>
      <c r="N19" s="3"/>
    </row>
    <row r="20" spans="1:14" ht="108" customHeight="1" x14ac:dyDescent="0.45">
      <c r="A20" s="4" t="s">
        <v>1</v>
      </c>
      <c r="B20" s="4" t="s">
        <v>40</v>
      </c>
      <c r="C20" s="4" t="s">
        <v>65</v>
      </c>
      <c r="D20" s="9">
        <f>IF(COUNT(Składniki!H28:H30)=3,SUM(Składniki!H28:H30),NA())</f>
        <v>1.1001700680272111</v>
      </c>
      <c r="E20" s="9">
        <f t="shared" si="1"/>
        <v>5.5008503401360556E-2</v>
      </c>
      <c r="F20" s="9">
        <f t="shared" ref="F20:F35" si="5">SUM(D20:E20)</f>
        <v>1.1551785714285716</v>
      </c>
      <c r="G20" s="9">
        <f t="shared" si="2"/>
        <v>1.6</v>
      </c>
      <c r="H20" s="9">
        <f t="shared" si="3"/>
        <v>-0.44482142857142848</v>
      </c>
      <c r="I20" s="4" t="str">
        <f t="shared" si="4"/>
        <v>KORZYSTNIE</v>
      </c>
      <c r="J20" s="4" t="s">
        <v>66</v>
      </c>
      <c r="K20" s="3"/>
      <c r="L20" s="3"/>
      <c r="M20" s="3"/>
      <c r="N20" s="3"/>
    </row>
    <row r="21" spans="1:14" ht="108" customHeight="1" x14ac:dyDescent="0.45">
      <c r="A21" s="4" t="s">
        <v>1</v>
      </c>
      <c r="B21" s="4" t="s">
        <v>5</v>
      </c>
      <c r="C21" s="4" t="s">
        <v>67</v>
      </c>
      <c r="D21" s="9">
        <f>IF(COUNT(Składniki!H31:H37)=7,SUM(Składniki!H31:H37),NA())</f>
        <v>0.32540000000000002</v>
      </c>
      <c r="E21" s="9">
        <f t="shared" si="1"/>
        <v>1.6270000000000003E-2</v>
      </c>
      <c r="F21" s="9">
        <f t="shared" si="5"/>
        <v>0.34167000000000003</v>
      </c>
      <c r="G21" s="9">
        <f t="shared" si="2"/>
        <v>0.9</v>
      </c>
      <c r="H21" s="9">
        <f t="shared" si="3"/>
        <v>-0.55832999999999999</v>
      </c>
      <c r="I21" s="4" t="str">
        <f t="shared" si="4"/>
        <v>KORZYSTNIE</v>
      </c>
      <c r="J21" s="4" t="s">
        <v>68</v>
      </c>
      <c r="K21" s="3"/>
      <c r="L21" s="3"/>
      <c r="M21" s="3"/>
      <c r="N21" s="3"/>
    </row>
    <row r="22" spans="1:14" ht="155" customHeight="1" x14ac:dyDescent="0.45">
      <c r="A22" s="4" t="s">
        <v>1</v>
      </c>
      <c r="B22" s="4" t="s">
        <v>41</v>
      </c>
      <c r="C22" s="4" t="s">
        <v>69</v>
      </c>
      <c r="D22" s="9">
        <f>IF(COUNT(Składniki!H38:H44)=7,SUM(Składniki!H38:H44),NA())</f>
        <v>0.9861428571428571</v>
      </c>
      <c r="E22" s="9">
        <f t="shared" si="1"/>
        <v>4.9307142857142855E-2</v>
      </c>
      <c r="F22" s="9">
        <f t="shared" si="5"/>
        <v>1.03545</v>
      </c>
      <c r="G22" s="9">
        <f t="shared" si="2"/>
        <v>3.2</v>
      </c>
      <c r="H22" s="9">
        <f t="shared" si="3"/>
        <v>-2.1645500000000002</v>
      </c>
      <c r="I22" s="4" t="str">
        <f t="shared" si="4"/>
        <v>KORZYSTNIE</v>
      </c>
      <c r="J22" s="4" t="s">
        <v>70</v>
      </c>
      <c r="K22" s="3"/>
      <c r="L22" s="3"/>
      <c r="M22" s="3"/>
      <c r="N22" s="3"/>
    </row>
    <row r="23" spans="1:14" ht="108" customHeight="1" x14ac:dyDescent="0.45">
      <c r="A23" s="4" t="s">
        <v>1</v>
      </c>
      <c r="B23" s="4" t="s">
        <v>6</v>
      </c>
      <c r="C23" s="4" t="s">
        <v>71</v>
      </c>
      <c r="D23" s="9">
        <f>IF(COUNT(Składniki!H45:H48)=4,SUM(Składniki!H45:H48),NA())</f>
        <v>1.0834285714285714</v>
      </c>
      <c r="E23" s="9">
        <f t="shared" si="1"/>
        <v>5.4171428571428572E-2</v>
      </c>
      <c r="F23" s="9">
        <f t="shared" si="5"/>
        <v>1.1375999999999999</v>
      </c>
      <c r="G23" s="9">
        <f t="shared" si="2"/>
        <v>1.3</v>
      </c>
      <c r="H23" s="9">
        <f t="shared" si="3"/>
        <v>-0.1624000000000001</v>
      </c>
      <c r="I23" s="4" t="str">
        <f t="shared" si="4"/>
        <v>KORZYSTNIE</v>
      </c>
      <c r="J23" s="4" t="s">
        <v>72</v>
      </c>
      <c r="K23" s="3"/>
      <c r="L23" s="3"/>
      <c r="M23" s="3"/>
      <c r="N23" s="3"/>
    </row>
    <row r="24" spans="1:14" ht="175.05" customHeight="1" x14ac:dyDescent="0.45">
      <c r="A24" s="4" t="s">
        <v>2</v>
      </c>
      <c r="B24" s="4" t="s">
        <v>40</v>
      </c>
      <c r="C24" s="4" t="s">
        <v>73</v>
      </c>
      <c r="D24" s="9">
        <f>IF(COUNT(Składniki!H49:H57)=9,SUM(Składniki!H49:H57),NA())</f>
        <v>2.2195208518189884</v>
      </c>
      <c r="E24" s="9">
        <f t="shared" si="1"/>
        <v>0.11097604259094943</v>
      </c>
      <c r="F24" s="9">
        <f t="shared" si="5"/>
        <v>2.3304968944099378</v>
      </c>
      <c r="G24" s="9">
        <f t="shared" si="2"/>
        <v>1.6</v>
      </c>
      <c r="H24" s="9">
        <f t="shared" si="3"/>
        <v>0.7304968944099377</v>
      </c>
      <c r="I24" s="4" t="str">
        <f t="shared" si="4"/>
        <v>DROGO</v>
      </c>
      <c r="J24" s="4" t="s">
        <v>74</v>
      </c>
      <c r="K24" s="3"/>
      <c r="L24" s="3"/>
      <c r="M24" s="3"/>
      <c r="N24" s="3"/>
    </row>
    <row r="25" spans="1:14" ht="108" customHeight="1" x14ac:dyDescent="0.45">
      <c r="A25" s="4" t="s">
        <v>2</v>
      </c>
      <c r="B25" s="4" t="s">
        <v>5</v>
      </c>
      <c r="C25" s="4" t="s">
        <v>75</v>
      </c>
      <c r="D25" s="9">
        <f>IF(COUNT(Składniki!H58:H65)=8,SUM(Składniki!H58:H65),NA())</f>
        <v>1.0960000000000001</v>
      </c>
      <c r="E25" s="9">
        <f t="shared" si="1"/>
        <v>5.4800000000000008E-2</v>
      </c>
      <c r="F25" s="9">
        <f t="shared" si="5"/>
        <v>1.1508</v>
      </c>
      <c r="G25" s="9">
        <f t="shared" si="2"/>
        <v>0.9</v>
      </c>
      <c r="H25" s="9">
        <f t="shared" si="3"/>
        <v>0.25080000000000002</v>
      </c>
      <c r="I25" s="4" t="str">
        <f t="shared" si="4"/>
        <v>DROGO</v>
      </c>
      <c r="J25" s="4" t="s">
        <v>76</v>
      </c>
      <c r="K25" s="3"/>
      <c r="L25" s="3"/>
      <c r="M25" s="3"/>
      <c r="N25" s="3"/>
    </row>
    <row r="26" spans="1:14" ht="160.05000000000001" customHeight="1" x14ac:dyDescent="0.45">
      <c r="A26" s="4" t="s">
        <v>2</v>
      </c>
      <c r="B26" s="4" t="s">
        <v>41</v>
      </c>
      <c r="C26" s="4" t="s">
        <v>77</v>
      </c>
      <c r="D26" s="9">
        <f>IF(COUNT(Składniki!H66:H70)=5,SUM(Składniki!H66:H70),NA())</f>
        <v>2.0584285714285713</v>
      </c>
      <c r="E26" s="9">
        <f t="shared" si="1"/>
        <v>0.10292142857142857</v>
      </c>
      <c r="F26" s="9">
        <f t="shared" si="5"/>
        <v>2.1613499999999997</v>
      </c>
      <c r="G26" s="9">
        <f t="shared" si="2"/>
        <v>3.2</v>
      </c>
      <c r="H26" s="9">
        <f t="shared" si="3"/>
        <v>-1.0386500000000005</v>
      </c>
      <c r="I26" s="4" t="str">
        <f t="shared" si="4"/>
        <v>KORZYSTNIE</v>
      </c>
      <c r="J26" s="4" t="s">
        <v>78</v>
      </c>
      <c r="K26" s="3"/>
      <c r="L26" s="3"/>
      <c r="M26" s="3"/>
      <c r="N26" s="3"/>
    </row>
    <row r="27" spans="1:14" ht="170" customHeight="1" x14ac:dyDescent="0.45">
      <c r="A27" s="4" t="s">
        <v>2</v>
      </c>
      <c r="B27" s="4" t="s">
        <v>6</v>
      </c>
      <c r="C27" s="4" t="s">
        <v>79</v>
      </c>
      <c r="D27" s="9">
        <f>IF(COUNT(Składniki!H71:H74)=4,SUM(Składniki!H71:H74),NA())</f>
        <v>1.7066666666666666</v>
      </c>
      <c r="E27" s="9">
        <f t="shared" si="1"/>
        <v>8.533333333333333E-2</v>
      </c>
      <c r="F27" s="9">
        <f t="shared" si="5"/>
        <v>1.7919999999999998</v>
      </c>
      <c r="G27" s="9">
        <f t="shared" si="2"/>
        <v>1.3</v>
      </c>
      <c r="H27" s="9">
        <f t="shared" si="3"/>
        <v>0.49199999999999977</v>
      </c>
      <c r="I27" s="4" t="str">
        <f t="shared" si="4"/>
        <v>DROGO</v>
      </c>
      <c r="J27" s="4" t="s">
        <v>80</v>
      </c>
      <c r="K27" s="3"/>
      <c r="L27" s="3"/>
      <c r="M27" s="3"/>
      <c r="N27" s="3"/>
    </row>
    <row r="28" spans="1:14" ht="145.05000000000001" customHeight="1" x14ac:dyDescent="0.45">
      <c r="A28" s="4" t="s">
        <v>3</v>
      </c>
      <c r="B28" s="4" t="s">
        <v>40</v>
      </c>
      <c r="C28" s="4" t="s">
        <v>81</v>
      </c>
      <c r="D28" s="9">
        <f>IF(COUNT(Składniki!H75:H78)=4,SUM(Składniki!H75:H78),NA())</f>
        <v>1.2695238095238095</v>
      </c>
      <c r="E28" s="9">
        <f t="shared" si="1"/>
        <v>6.3476190476190478E-2</v>
      </c>
      <c r="F28" s="9">
        <f t="shared" si="5"/>
        <v>1.333</v>
      </c>
      <c r="G28" s="9">
        <f t="shared" si="2"/>
        <v>1.6</v>
      </c>
      <c r="H28" s="9">
        <f t="shared" si="3"/>
        <v>-0.26700000000000013</v>
      </c>
      <c r="I28" s="4" t="str">
        <f t="shared" si="4"/>
        <v>KORZYSTNIE</v>
      </c>
      <c r="J28" s="4" t="s">
        <v>82</v>
      </c>
      <c r="K28" s="3"/>
      <c r="L28" s="3"/>
      <c r="M28" s="3"/>
      <c r="N28" s="3"/>
    </row>
    <row r="29" spans="1:14" ht="195" customHeight="1" x14ac:dyDescent="0.45">
      <c r="A29" s="4" t="s">
        <v>3</v>
      </c>
      <c r="B29" s="4" t="s">
        <v>5</v>
      </c>
      <c r="C29" s="4" t="s">
        <v>83</v>
      </c>
      <c r="D29" s="9">
        <f>IF(COUNT(Składniki!H79:H88)=10,SUM(Składniki!H79:H88),NA())</f>
        <v>1.4157619047619046</v>
      </c>
      <c r="E29" s="9">
        <f t="shared" si="1"/>
        <v>7.0788095238095233E-2</v>
      </c>
      <c r="F29" s="9">
        <f t="shared" si="5"/>
        <v>1.4865499999999998</v>
      </c>
      <c r="G29" s="9">
        <f t="shared" si="2"/>
        <v>0.9</v>
      </c>
      <c r="H29" s="9">
        <f t="shared" si="3"/>
        <v>0.58654999999999979</v>
      </c>
      <c r="I29" s="4" t="str">
        <f t="shared" si="4"/>
        <v>DROGO</v>
      </c>
      <c r="J29" s="4" t="s">
        <v>84</v>
      </c>
      <c r="K29" s="3"/>
      <c r="L29" s="3"/>
      <c r="M29" s="3"/>
      <c r="N29" s="3"/>
    </row>
    <row r="30" spans="1:14" ht="165" customHeight="1" x14ac:dyDescent="0.45">
      <c r="A30" s="4" t="s">
        <v>3</v>
      </c>
      <c r="B30" s="4" t="s">
        <v>41</v>
      </c>
      <c r="C30" s="4" t="s">
        <v>85</v>
      </c>
      <c r="D30" s="9">
        <f>IF(COUNT(Składniki!H89:H95)=7,SUM(Składniki!H89:H95),NA())</f>
        <v>3.221714285714286</v>
      </c>
      <c r="E30" s="9">
        <f t="shared" si="1"/>
        <v>0.1610857142857143</v>
      </c>
      <c r="F30" s="9">
        <f t="shared" si="5"/>
        <v>3.3828000000000005</v>
      </c>
      <c r="G30" s="9">
        <f t="shared" si="2"/>
        <v>3.2</v>
      </c>
      <c r="H30" s="9">
        <f t="shared" si="3"/>
        <v>0.1828000000000003</v>
      </c>
      <c r="I30" s="4" t="str">
        <f t="shared" si="4"/>
        <v>ŚREDNIO</v>
      </c>
      <c r="J30" s="4" t="s">
        <v>86</v>
      </c>
      <c r="K30" s="3"/>
      <c r="L30" s="3"/>
      <c r="M30" s="3"/>
      <c r="N30" s="3"/>
    </row>
    <row r="31" spans="1:14" ht="175.05" customHeight="1" x14ac:dyDescent="0.45">
      <c r="A31" s="4" t="s">
        <v>3</v>
      </c>
      <c r="B31" s="4" t="s">
        <v>6</v>
      </c>
      <c r="C31" s="4" t="s">
        <v>87</v>
      </c>
      <c r="D31" s="9">
        <f>IF(COUNT(Składniki!H96:H98)=3,SUM(Składniki!H96:H98),NA())</f>
        <v>1.1322751322751323</v>
      </c>
      <c r="E31" s="9">
        <f t="shared" si="1"/>
        <v>5.6613756613756616E-2</v>
      </c>
      <c r="F31" s="9">
        <f t="shared" si="5"/>
        <v>1.1888888888888889</v>
      </c>
      <c r="G31" s="9">
        <f t="shared" si="2"/>
        <v>1.3</v>
      </c>
      <c r="H31" s="9">
        <f t="shared" si="3"/>
        <v>-0.11111111111111116</v>
      </c>
      <c r="I31" s="4" t="str">
        <f t="shared" si="4"/>
        <v>KORZYSTNIE</v>
      </c>
      <c r="J31" s="4" t="s">
        <v>88</v>
      </c>
      <c r="K31" s="3"/>
      <c r="L31" s="3"/>
      <c r="M31" s="3"/>
      <c r="N31" s="3"/>
    </row>
    <row r="32" spans="1:14" ht="108" customHeight="1" x14ac:dyDescent="0.45">
      <c r="A32" s="4" t="s">
        <v>4</v>
      </c>
      <c r="B32" s="4" t="s">
        <v>40</v>
      </c>
      <c r="C32" s="4" t="s">
        <v>89</v>
      </c>
      <c r="D32" s="9">
        <f>IF(COUNT(Składniki!H99:H102)=4,SUM(Składniki!H99:H102),NA())</f>
        <v>2.2223129251700682</v>
      </c>
      <c r="E32" s="9">
        <f t="shared" si="1"/>
        <v>0.11111564625850341</v>
      </c>
      <c r="F32" s="9">
        <f t="shared" si="5"/>
        <v>2.3334285714285716</v>
      </c>
      <c r="G32" s="9">
        <f t="shared" si="2"/>
        <v>1.6</v>
      </c>
      <c r="H32" s="9">
        <f t="shared" si="3"/>
        <v>0.73342857142857154</v>
      </c>
      <c r="I32" s="4" t="str">
        <f t="shared" si="4"/>
        <v>DROGO</v>
      </c>
      <c r="J32" s="4" t="s">
        <v>90</v>
      </c>
      <c r="K32" s="3"/>
      <c r="L32" s="3"/>
      <c r="M32" s="3"/>
      <c r="N32" s="3"/>
    </row>
    <row r="33" spans="1:14" ht="190.05" customHeight="1" x14ac:dyDescent="0.45">
      <c r="A33" s="4" t="s">
        <v>4</v>
      </c>
      <c r="B33" s="4" t="s">
        <v>5</v>
      </c>
      <c r="C33" s="4" t="s">
        <v>91</v>
      </c>
      <c r="D33" s="9">
        <f>IF(COUNT(Składniki!H103:H110)+COUNT(Składniki!H153)=9,SUM(Składniki!H103:H110)+Składniki!H153,NA())</f>
        <v>1.0788571428571427</v>
      </c>
      <c r="E33" s="9">
        <f t="shared" si="1"/>
        <v>5.394285714285714E-2</v>
      </c>
      <c r="F33" s="9">
        <f t="shared" si="5"/>
        <v>1.1327999999999998</v>
      </c>
      <c r="G33" s="9">
        <f t="shared" si="2"/>
        <v>0.9</v>
      </c>
      <c r="H33" s="9">
        <f t="shared" si="3"/>
        <v>0.23279999999999978</v>
      </c>
      <c r="I33" s="4" t="str">
        <f t="shared" si="4"/>
        <v>DROGO</v>
      </c>
      <c r="J33" s="4" t="s">
        <v>92</v>
      </c>
      <c r="K33" s="3"/>
      <c r="L33" s="3"/>
      <c r="M33" s="3"/>
      <c r="N33" s="3"/>
    </row>
    <row r="34" spans="1:14" ht="210" customHeight="1" x14ac:dyDescent="0.45">
      <c r="A34" s="4" t="s">
        <v>4</v>
      </c>
      <c r="B34" s="4" t="s">
        <v>41</v>
      </c>
      <c r="C34" s="4" t="s">
        <v>93</v>
      </c>
      <c r="D34" s="9">
        <f>IF(COUNT(Składniki!H111:H117)+COUNT(Składniki!H154:H155)=9,SUM(Składniki!H111:H117)+SUM(Składniki!H154:H155),NA())</f>
        <v>2.0427507598784191</v>
      </c>
      <c r="E34" s="9">
        <f t="shared" si="1"/>
        <v>0.10213753799392096</v>
      </c>
      <c r="F34" s="9">
        <f t="shared" si="5"/>
        <v>2.14488829787234</v>
      </c>
      <c r="G34" s="9">
        <f t="shared" si="2"/>
        <v>3.2</v>
      </c>
      <c r="H34" s="9">
        <f t="shared" si="3"/>
        <v>-1.0551117021276601</v>
      </c>
      <c r="I34" s="4" t="str">
        <f t="shared" si="4"/>
        <v>KORZYSTNIE</v>
      </c>
      <c r="J34" s="4" t="s">
        <v>94</v>
      </c>
      <c r="K34" s="3"/>
      <c r="L34" s="3"/>
      <c r="M34" s="3"/>
      <c r="N34" s="3"/>
    </row>
    <row r="35" spans="1:14" ht="155" customHeight="1" x14ac:dyDescent="0.45">
      <c r="A35" s="4" t="s">
        <v>4</v>
      </c>
      <c r="B35" s="4" t="s">
        <v>6</v>
      </c>
      <c r="C35" s="4" t="s">
        <v>95</v>
      </c>
      <c r="D35" s="9">
        <f>IF(COUNT(Składniki!H118:H122)=5,SUM(Składniki!H118:H122),NA())</f>
        <v>1.2099319727891156</v>
      </c>
      <c r="E35" s="9">
        <f t="shared" si="1"/>
        <v>6.0496598639455779E-2</v>
      </c>
      <c r="F35" s="9">
        <f t="shared" si="5"/>
        <v>1.2704285714285715</v>
      </c>
      <c r="G35" s="9">
        <f t="shared" si="2"/>
        <v>1.3</v>
      </c>
      <c r="H35" s="9">
        <f t="shared" si="3"/>
        <v>-2.9571428571428582E-2</v>
      </c>
      <c r="I35" s="4" t="str">
        <f t="shared" si="4"/>
        <v>KORZYSTNIE</v>
      </c>
      <c r="J35" s="4" t="s">
        <v>96</v>
      </c>
      <c r="K35" s="3"/>
      <c r="L35" s="3"/>
      <c r="M35" s="3"/>
      <c r="N35" s="3"/>
    </row>
    <row r="36" spans="1:14" x14ac:dyDescent="0.45">
      <c r="A36" s="4"/>
      <c r="B36" s="4"/>
      <c r="C36" s="4"/>
      <c r="D36" s="4"/>
      <c r="E36" s="4"/>
      <c r="F36" s="4"/>
      <c r="G36" s="4"/>
      <c r="H36" s="4"/>
      <c r="I36" s="4"/>
      <c r="J36" s="4"/>
      <c r="K36" s="3"/>
      <c r="L36" s="3"/>
      <c r="M36" s="3"/>
      <c r="N36" s="3"/>
    </row>
    <row r="37" spans="1:14" ht="36" customHeight="1" x14ac:dyDescent="0.45">
      <c r="A37" s="66" t="s">
        <v>97</v>
      </c>
      <c r="B37" s="66"/>
      <c r="C37" s="66"/>
      <c r="D37" s="66"/>
      <c r="E37" s="66"/>
      <c r="F37" s="66"/>
      <c r="G37" s="66"/>
      <c r="H37" s="66"/>
      <c r="I37" s="66"/>
      <c r="J37" s="66"/>
      <c r="K37" s="3"/>
      <c r="L37" s="3"/>
      <c r="M37" s="3"/>
      <c r="N37" s="3"/>
    </row>
    <row r="38" spans="1:14" ht="36" customHeight="1" x14ac:dyDescent="0.45">
      <c r="A38" s="66" t="s">
        <v>98</v>
      </c>
      <c r="B38" s="66"/>
      <c r="C38" s="66"/>
      <c r="D38" s="66"/>
      <c r="E38" s="66"/>
      <c r="F38" s="66"/>
      <c r="G38" s="66"/>
      <c r="H38" s="66"/>
      <c r="I38" s="66"/>
      <c r="J38" s="66"/>
      <c r="K38" s="3"/>
      <c r="L38" s="3"/>
      <c r="M38" s="3"/>
      <c r="N38" s="3"/>
    </row>
    <row r="39" spans="1:14" ht="36" customHeight="1" x14ac:dyDescent="0.45">
      <c r="A39" s="66" t="s">
        <v>99</v>
      </c>
      <c r="B39" s="66"/>
      <c r="C39" s="66"/>
      <c r="D39" s="66"/>
      <c r="E39" s="66"/>
      <c r="F39" s="66"/>
      <c r="G39" s="66"/>
      <c r="H39" s="66"/>
      <c r="I39" s="66"/>
      <c r="J39" s="66"/>
      <c r="K39" s="3"/>
      <c r="L39" s="3"/>
      <c r="M39" s="3"/>
      <c r="N39" s="3"/>
    </row>
    <row r="40" spans="1:14" ht="36" customHeight="1" x14ac:dyDescent="0.45">
      <c r="A40" s="66" t="s">
        <v>100</v>
      </c>
      <c r="B40" s="66"/>
      <c r="C40" s="66"/>
      <c r="D40" s="66"/>
      <c r="E40" s="66"/>
      <c r="F40" s="66"/>
      <c r="G40" s="66"/>
      <c r="H40" s="66"/>
      <c r="I40" s="66"/>
      <c r="J40" s="66"/>
      <c r="K40" s="3"/>
      <c r="L40" s="3"/>
      <c r="M40" s="3"/>
      <c r="N40" s="3"/>
    </row>
    <row r="41" spans="1:14" x14ac:dyDescent="0.4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32" customHeight="1" x14ac:dyDescent="0.45">
      <c r="A42" s="67" t="s">
        <v>101</v>
      </c>
      <c r="B42" s="67"/>
      <c r="C42" s="67"/>
      <c r="D42" s="67"/>
      <c r="E42" s="67"/>
      <c r="F42" s="67"/>
      <c r="G42" s="67"/>
      <c r="H42" s="67"/>
      <c r="I42" s="67"/>
      <c r="J42" s="67"/>
      <c r="K42" s="3"/>
      <c r="L42" s="3"/>
      <c r="M42" s="3"/>
      <c r="N42" s="3"/>
    </row>
    <row r="43" spans="1:14" ht="36" customHeight="1" x14ac:dyDescent="0.45">
      <c r="A43" s="3" t="s">
        <v>102</v>
      </c>
      <c r="B43" s="17" t="s">
        <v>103</v>
      </c>
      <c r="C43" s="3"/>
      <c r="D43" s="66" t="s">
        <v>104</v>
      </c>
      <c r="E43" s="66"/>
      <c r="F43" s="66"/>
      <c r="G43" s="66"/>
      <c r="H43" s="66"/>
      <c r="I43" s="66"/>
      <c r="J43" s="66"/>
      <c r="K43" s="3"/>
      <c r="L43" s="3"/>
      <c r="M43" s="3"/>
      <c r="N43" s="3"/>
    </row>
    <row r="44" spans="1:14" ht="44" customHeight="1" x14ac:dyDescent="0.45">
      <c r="A44" s="18" t="s">
        <v>39</v>
      </c>
      <c r="B44" s="18" t="s">
        <v>105</v>
      </c>
      <c r="C44" s="18" t="s">
        <v>106</v>
      </c>
      <c r="D44" s="18" t="s">
        <v>107</v>
      </c>
      <c r="E44" s="18" t="s">
        <v>108</v>
      </c>
      <c r="F44" s="18" t="s">
        <v>109</v>
      </c>
      <c r="G44" s="18" t="s">
        <v>43</v>
      </c>
      <c r="H44" s="3"/>
      <c r="I44" s="3"/>
      <c r="J44" s="3"/>
      <c r="K44" s="3"/>
      <c r="L44" s="3"/>
      <c r="M44" s="3"/>
      <c r="N44" s="3"/>
    </row>
    <row r="45" spans="1:14" ht="30" customHeight="1" x14ac:dyDescent="0.45">
      <c r="A45" s="3" t="str">
        <f>A8</f>
        <v>Poniedziałek</v>
      </c>
      <c r="B45" s="6">
        <f>F8</f>
        <v>5.7659785714285707</v>
      </c>
      <c r="C45" s="45">
        <v>115</v>
      </c>
      <c r="D45" s="23">
        <f>IF(ISNUMBER(C45),B45*C45,"")</f>
        <v>663.08753571428565</v>
      </c>
      <c r="E45" s="23">
        <f>IF(ISNUMBER(C45),$B$4*C45,"")</f>
        <v>2300</v>
      </c>
      <c r="F45" s="23">
        <f>IF(ISNUMBER(C45),E45-D45,"")</f>
        <v>1636.9124642857143</v>
      </c>
      <c r="G45" s="7">
        <f>IF(ISNUMBER(C45),IF(C45&gt;0,D45/E45,""),"")</f>
        <v>0.28829892857142853</v>
      </c>
      <c r="H45" s="3"/>
      <c r="I45" s="3"/>
      <c r="J45" s="3"/>
      <c r="K45" s="3"/>
      <c r="L45" s="3"/>
      <c r="M45" s="3"/>
      <c r="N45" s="3"/>
    </row>
    <row r="46" spans="1:14" ht="30" customHeight="1" x14ac:dyDescent="0.45">
      <c r="A46" s="3" t="str">
        <f>A9</f>
        <v>Wtorek</v>
      </c>
      <c r="B46" s="6">
        <f>F9</f>
        <v>3.6698985714285715</v>
      </c>
      <c r="C46" s="45">
        <v>115</v>
      </c>
      <c r="D46" s="23">
        <f>IF(ISNUMBER(C46),B46*C46,"")</f>
        <v>422.03833571428572</v>
      </c>
      <c r="E46" s="23">
        <f>IF(ISNUMBER(C46),$B$4*C46,"")</f>
        <v>2300</v>
      </c>
      <c r="F46" s="23">
        <f>IF(ISNUMBER(C46),E46-D46,"")</f>
        <v>1877.9616642857143</v>
      </c>
      <c r="G46" s="7">
        <f>IF(ISNUMBER(C46),IF(C46&gt;0,D46/E46,""),"")</f>
        <v>0.18349492857142857</v>
      </c>
      <c r="H46" s="3"/>
      <c r="I46" s="3"/>
      <c r="J46" s="3"/>
      <c r="K46" s="3"/>
      <c r="L46" s="3"/>
      <c r="M46" s="3"/>
      <c r="N46" s="3"/>
    </row>
    <row r="47" spans="1:14" ht="30" customHeight="1" x14ac:dyDescent="0.45">
      <c r="A47" s="3" t="str">
        <f>A10</f>
        <v>Środa</v>
      </c>
      <c r="B47" s="6">
        <f>F10</f>
        <v>7.4346468944099371</v>
      </c>
      <c r="C47" s="45">
        <v>115</v>
      </c>
      <c r="D47" s="23">
        <f>IF(ISNUMBER(C47),B47*C47,"")</f>
        <v>854.98439285714278</v>
      </c>
      <c r="E47" s="23">
        <f>IF(ISNUMBER(C47),$B$4*C47,"")</f>
        <v>2300</v>
      </c>
      <c r="F47" s="23">
        <f>IF(ISNUMBER(C47),E47-D47,"")</f>
        <v>1445.0156071428573</v>
      </c>
      <c r="G47" s="7">
        <f>IF(ISNUMBER(C47),IF(C47&gt;0,D47/E47,""),"")</f>
        <v>0.37173234472049688</v>
      </c>
      <c r="H47" s="3"/>
      <c r="I47" s="3"/>
      <c r="J47" s="3"/>
      <c r="K47" s="3"/>
      <c r="L47" s="3"/>
      <c r="M47" s="3"/>
      <c r="N47" s="3"/>
    </row>
    <row r="48" spans="1:14" ht="30" customHeight="1" x14ac:dyDescent="0.45">
      <c r="A48" s="3" t="str">
        <f>A11</f>
        <v>Czwartek</v>
      </c>
      <c r="B48" s="6">
        <f>F11</f>
        <v>7.3912388888888891</v>
      </c>
      <c r="C48" s="45">
        <v>115</v>
      </c>
      <c r="D48" s="23">
        <f>IF(ISNUMBER(C48),B48*C48,"")</f>
        <v>849.9924722222222</v>
      </c>
      <c r="E48" s="23">
        <f>IF(ISNUMBER(C48),$B$4*C48,"")</f>
        <v>2300</v>
      </c>
      <c r="F48" s="23">
        <f>IF(ISNUMBER(C48),E48-D48,"")</f>
        <v>1450.0075277777778</v>
      </c>
      <c r="G48" s="7">
        <f>IF(ISNUMBER(C48),IF(C48&gt;0,D48/E48,""),"")</f>
        <v>0.36956194444444446</v>
      </c>
      <c r="H48" s="3"/>
      <c r="I48" s="3"/>
      <c r="J48" s="3"/>
      <c r="K48" s="3"/>
      <c r="L48" s="3"/>
      <c r="M48" s="3"/>
      <c r="N48" s="3"/>
    </row>
    <row r="49" spans="1:14" ht="30" customHeight="1" x14ac:dyDescent="0.45">
      <c r="A49" s="3" t="str">
        <f>A12</f>
        <v>Piątek</v>
      </c>
      <c r="B49" s="6">
        <f>F12</f>
        <v>6.8815454407294823</v>
      </c>
      <c r="C49" s="45">
        <v>115</v>
      </c>
      <c r="D49" s="23">
        <f>IF(ISNUMBER(C49),B49*C49,"")</f>
        <v>791.3777256838905</v>
      </c>
      <c r="E49" s="23">
        <f>IF(ISNUMBER(C49),$B$4*C49,"")</f>
        <v>2300</v>
      </c>
      <c r="F49" s="23">
        <f>IF(ISNUMBER(C49),E49-D49,"")</f>
        <v>1508.6222743161095</v>
      </c>
      <c r="G49" s="7">
        <f>IF(ISNUMBER(C49),IF(C49&gt;0,D49/E49,""),"")</f>
        <v>0.34407727203647415</v>
      </c>
      <c r="H49" s="3"/>
      <c r="I49" s="3"/>
      <c r="J49" s="3"/>
      <c r="K49" s="3"/>
      <c r="L49" s="3"/>
      <c r="M49" s="3"/>
      <c r="N49" s="3"/>
    </row>
    <row r="50" spans="1:14" ht="30" customHeight="1" x14ac:dyDescent="0.45">
      <c r="A50" s="19" t="s">
        <v>110</v>
      </c>
      <c r="B50" s="20"/>
      <c r="C50" s="22">
        <f>IF(COUNT($C$45:$C$49)=5,SUM(C45:C49),"")</f>
        <v>575</v>
      </c>
      <c r="D50" s="24">
        <f>IF(COUNT($C$45:$C$49)=5,SUM(D45:D49),"")</f>
        <v>3581.4804621918265</v>
      </c>
      <c r="E50" s="24">
        <f>IF(COUNT($C$45:$C$49)=5,SUM(E45:E49),"")</f>
        <v>11500</v>
      </c>
      <c r="F50" s="24">
        <f>IF(COUNT($C$45:$C$49)=5,SUM(F45:F49),"")</f>
        <v>7918.5195378081735</v>
      </c>
      <c r="G50" s="25">
        <f>IF(COUNT(C45:C49)=5,IF(C50&gt;0,D50/E50,""),"")</f>
        <v>0.31143308366885447</v>
      </c>
      <c r="H50" s="3"/>
      <c r="I50" s="3"/>
      <c r="J50" s="3"/>
      <c r="K50" s="3"/>
      <c r="L50" s="3"/>
      <c r="M50" s="3"/>
      <c r="N50" s="3"/>
    </row>
    <row r="51" spans="1:14" ht="30" customHeight="1" x14ac:dyDescent="0.45">
      <c r="A51" s="19" t="s">
        <v>111</v>
      </c>
      <c r="B51" s="20">
        <f>IF(COUNT(C45:C49)=5,IF(C50&gt;0,D50/C50,""),"")</f>
        <v>6.2286616733770899</v>
      </c>
      <c r="C51" s="22">
        <f>IF(COUNT($C$45:$C$49)=5,AVERAGE(C45:C49),"")</f>
        <v>115</v>
      </c>
      <c r="D51" s="24">
        <f>IF(COUNT($C$45:$C$49)=5,AVERAGE(D45:D49),"")</f>
        <v>716.29609243836535</v>
      </c>
      <c r="E51" s="24">
        <f>IF(COUNT($C$45:$C$49)=5,AVERAGE(E45:E49),"")</f>
        <v>2300</v>
      </c>
      <c r="F51" s="24">
        <f>IF(COUNT($C$45:$C$49)=5,AVERAGE(F45:F49),"")</f>
        <v>1583.7039075616347</v>
      </c>
      <c r="G51" s="25">
        <f>IF(COUNT(C45:C49)=5,IF(C50&gt;0,D50/E50,""),"")</f>
        <v>0.31143308366885447</v>
      </c>
      <c r="H51" s="3"/>
      <c r="I51" s="3"/>
      <c r="J51" s="3"/>
      <c r="K51" s="3"/>
      <c r="L51" s="3"/>
      <c r="M51" s="3"/>
      <c r="N51" s="3"/>
    </row>
    <row r="52" spans="1:14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65" customHeight="1" x14ac:dyDescent="0.45">
      <c r="A53" s="66" t="s">
        <v>112</v>
      </c>
      <c r="B53" s="66"/>
      <c r="C53" s="66"/>
      <c r="D53" s="66"/>
      <c r="E53" s="66"/>
      <c r="F53" s="66"/>
      <c r="G53" s="66"/>
      <c r="H53" s="66"/>
      <c r="I53" s="66"/>
      <c r="J53" s="66"/>
      <c r="K53" s="3"/>
      <c r="L53" s="3"/>
      <c r="M53" s="3"/>
      <c r="N53" s="3"/>
    </row>
    <row r="54" spans="1:14" x14ac:dyDescent="0.4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50" customHeight="1" x14ac:dyDescent="0.45">
      <c r="A55" s="66" t="s">
        <v>113</v>
      </c>
      <c r="B55" s="66"/>
      <c r="C55" s="66"/>
      <c r="D55" s="66"/>
      <c r="E55" s="66"/>
      <c r="F55" s="66"/>
      <c r="G55" s="66"/>
      <c r="H55" s="66"/>
      <c r="I55" s="66"/>
      <c r="J55" s="66"/>
      <c r="K55" s="3"/>
      <c r="L55" s="3"/>
      <c r="M55" s="3"/>
      <c r="N55" s="3"/>
    </row>
    <row r="56" spans="1:14" x14ac:dyDescent="0.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32" customHeight="1" x14ac:dyDescent="0.45">
      <c r="A57" s="68" t="s">
        <v>114</v>
      </c>
      <c r="B57" s="68"/>
      <c r="C57" s="68"/>
      <c r="D57" s="68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8.05" customHeight="1" x14ac:dyDescent="0.45">
      <c r="A58" s="27" t="s">
        <v>115</v>
      </c>
      <c r="B58" s="27" t="s">
        <v>102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28.05" customHeight="1" x14ac:dyDescent="0.45">
      <c r="A59" s="3" t="s">
        <v>116</v>
      </c>
      <c r="B59" s="21">
        <v>75</v>
      </c>
      <c r="C59" s="3"/>
      <c r="D59" s="66" t="s">
        <v>117</v>
      </c>
      <c r="E59" s="66"/>
      <c r="F59" s="66"/>
      <c r="G59" s="66"/>
      <c r="H59" s="66"/>
      <c r="I59" s="66"/>
      <c r="J59" s="66"/>
      <c r="K59" s="3"/>
      <c r="L59" s="3"/>
      <c r="M59" s="3"/>
      <c r="N59" s="3"/>
    </row>
    <row r="60" spans="1:14" ht="28.05" customHeight="1" x14ac:dyDescent="0.45">
      <c r="A60" s="3" t="s">
        <v>118</v>
      </c>
      <c r="B60" s="21">
        <v>20</v>
      </c>
      <c r="C60" s="3"/>
      <c r="D60" s="66"/>
      <c r="E60" s="66"/>
      <c r="F60" s="66"/>
      <c r="G60" s="66"/>
      <c r="H60" s="66"/>
      <c r="I60" s="66"/>
      <c r="J60" s="66"/>
      <c r="K60" s="3"/>
      <c r="L60" s="3"/>
      <c r="M60" s="3"/>
      <c r="N60" s="3"/>
    </row>
    <row r="61" spans="1:14" ht="28.05" customHeight="1" x14ac:dyDescent="0.45">
      <c r="A61" s="3" t="s">
        <v>119</v>
      </c>
      <c r="B61" s="21">
        <v>20</v>
      </c>
      <c r="C61" s="3"/>
      <c r="D61" s="66"/>
      <c r="E61" s="66"/>
      <c r="F61" s="66"/>
      <c r="G61" s="66"/>
      <c r="H61" s="66"/>
      <c r="I61" s="66"/>
      <c r="J61" s="66"/>
      <c r="K61" s="3"/>
      <c r="L61" s="3"/>
      <c r="M61" s="3"/>
      <c r="N61" s="3"/>
    </row>
    <row r="62" spans="1:14" ht="28.05" customHeight="1" x14ac:dyDescent="0.45">
      <c r="A62" s="28" t="s">
        <v>120</v>
      </c>
      <c r="B62" s="29">
        <f>SUM(B59:B61)</f>
        <v>115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4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30" customHeight="1" x14ac:dyDescent="0.45">
      <c r="A64" s="69" t="s">
        <v>121</v>
      </c>
      <c r="B64" s="69"/>
      <c r="C64" s="69"/>
      <c r="D64" s="69"/>
      <c r="E64" s="69"/>
      <c r="F64" s="69"/>
      <c r="G64" s="69"/>
      <c r="H64" s="69"/>
      <c r="I64" s="69"/>
      <c r="J64" s="69"/>
      <c r="K64" s="3"/>
      <c r="L64" s="3"/>
      <c r="M64" s="3"/>
      <c r="N64" s="3"/>
    </row>
    <row r="65" spans="1:14" ht="72" customHeight="1" x14ac:dyDescent="0.45">
      <c r="A65" s="66" t="s">
        <v>122</v>
      </c>
      <c r="B65" s="66"/>
      <c r="C65" s="66"/>
      <c r="D65" s="66"/>
      <c r="E65" s="66"/>
      <c r="F65" s="66"/>
      <c r="G65" s="66"/>
      <c r="H65" s="66"/>
      <c r="I65" s="66"/>
      <c r="J65" s="66"/>
      <c r="K65" s="3"/>
      <c r="L65" s="3"/>
      <c r="M65" s="3"/>
      <c r="N65" s="3"/>
    </row>
    <row r="66" spans="1:14" ht="34.049999999999997" customHeight="1" x14ac:dyDescent="0.45">
      <c r="A66" s="66" t="s">
        <v>123</v>
      </c>
      <c r="B66" s="66"/>
      <c r="C66" s="66"/>
      <c r="D66" s="66"/>
      <c r="E66" s="66"/>
      <c r="F66" s="66"/>
      <c r="G66" s="66"/>
      <c r="H66" s="66"/>
      <c r="I66" s="66"/>
      <c r="J66" s="66"/>
      <c r="K66" s="3"/>
      <c r="L66" s="3"/>
      <c r="M66" s="3"/>
      <c r="N66" s="3"/>
    </row>
    <row r="67" spans="1:14" x14ac:dyDescent="0.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4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4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4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4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4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4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4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4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4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4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4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4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4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4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4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4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4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4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4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4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4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4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4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4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4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4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4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4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4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4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4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4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4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4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4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4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4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4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4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4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4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4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4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4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4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4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4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4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4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4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4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4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4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4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4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4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4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4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4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4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4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4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4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4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4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4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4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4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4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4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4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4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4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4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4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4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4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4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4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4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4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4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4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4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4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4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4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4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4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4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4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4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4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4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4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4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4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4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4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4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4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4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4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4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4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4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4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4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4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4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4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4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4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4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4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4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4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4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4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4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4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4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4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4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4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4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4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4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4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4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4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4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4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4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4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4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4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4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4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4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4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4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4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4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4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4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4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4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4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4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4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4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4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4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4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</sheetData>
  <mergeCells count="16">
    <mergeCell ref="A66:J66"/>
    <mergeCell ref="A55:J55"/>
    <mergeCell ref="A57:D57"/>
    <mergeCell ref="D59:J61"/>
    <mergeCell ref="A64:J64"/>
    <mergeCell ref="A65:J65"/>
    <mergeCell ref="A39:J39"/>
    <mergeCell ref="A40:J40"/>
    <mergeCell ref="A42:J42"/>
    <mergeCell ref="D43:J43"/>
    <mergeCell ref="A53:J53"/>
    <mergeCell ref="A1:J1"/>
    <mergeCell ref="A2:J2"/>
    <mergeCell ref="F4:J5"/>
    <mergeCell ref="A37:J37"/>
    <mergeCell ref="A38:J38"/>
  </mergeCells>
  <conditionalFormatting sqref="F8:F12">
    <cfRule type="expression" dxfId="5" priority="4">
      <formula>ROUND(F8,2)&lt;=$D$4</formula>
    </cfRule>
    <cfRule type="expression" dxfId="4" priority="5">
      <formula>AND(ROUND(F8,2)&gt;$D$4,F8&lt;=$D$5)</formula>
    </cfRule>
    <cfRule type="expression" dxfId="3" priority="6">
      <formula>F8&gt;$D$5</formula>
    </cfRule>
  </conditionalFormatting>
  <conditionalFormatting sqref="F16:F35">
    <cfRule type="expression" dxfId="2" priority="1">
      <formula>F16&lt;=G16</formula>
    </cfRule>
    <cfRule type="expression" dxfId="1" priority="2">
      <formula>AND(F16&gt;G16,F16&lt;=G16*1.2)</formula>
    </cfRule>
    <cfRule type="expression" dxfId="0" priority="3">
      <formula>F16&gt;G16*1.2</formula>
    </cfRule>
  </conditionalFormatting>
  <dataValidations count="1">
    <dataValidation type="whole" sqref="C45:C49" xr:uid="{00000000-0002-0000-0100-000000000000}">
      <formula1>0</formula1>
      <formula2>10000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0"/>
  <sheetViews>
    <sheetView showGridLines="0" workbookViewId="0">
      <pane ySplit="4" topLeftCell="A5" activePane="bottomLeft" state="frozen"/>
      <selection pane="bottomLeft"/>
    </sheetView>
  </sheetViews>
  <sheetFormatPr defaultRowHeight="14.25" x14ac:dyDescent="0.45"/>
  <cols>
    <col min="1" max="1" width="12" customWidth="1"/>
    <col min="2" max="3" width="18" customWidth="1"/>
    <col min="4" max="4" width="22" customWidth="1"/>
    <col min="5" max="5" width="18" customWidth="1"/>
    <col min="6" max="6" width="16" customWidth="1"/>
    <col min="7" max="7" width="20" customWidth="1"/>
    <col min="8" max="8" width="18" customWidth="1"/>
    <col min="9" max="11" width="3" customWidth="1"/>
    <col min="12" max="13" width="23" customWidth="1"/>
    <col min="14" max="14" width="20" customWidth="1"/>
  </cols>
  <sheetData>
    <row r="1" spans="1:14" ht="32" customHeight="1" x14ac:dyDescent="0.45">
      <c r="A1" s="65" t="s">
        <v>124</v>
      </c>
      <c r="B1" s="65"/>
      <c r="C1" s="65"/>
      <c r="D1" s="65"/>
      <c r="E1" s="65"/>
      <c r="F1" s="65"/>
      <c r="G1" s="65"/>
      <c r="H1" s="65"/>
      <c r="I1" s="65"/>
      <c r="J1" s="65"/>
      <c r="K1" s="3"/>
      <c r="L1" s="3"/>
      <c r="M1" s="3"/>
      <c r="N1" s="3"/>
    </row>
    <row r="2" spans="1:14" ht="35" customHeight="1" x14ac:dyDescent="0.45">
      <c r="A2" s="66" t="s">
        <v>125</v>
      </c>
      <c r="B2" s="66"/>
      <c r="C2" s="66"/>
      <c r="D2" s="66"/>
      <c r="E2" s="66"/>
      <c r="F2" s="66"/>
      <c r="G2" s="66"/>
      <c r="H2" s="66"/>
      <c r="I2" s="66"/>
      <c r="J2" s="66"/>
      <c r="K2" s="3"/>
      <c r="L2" s="3"/>
      <c r="M2" s="3"/>
      <c r="N2" s="3"/>
    </row>
    <row r="3" spans="1:14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36" customHeight="1" x14ac:dyDescent="0.45">
      <c r="A4" s="8" t="s">
        <v>126</v>
      </c>
      <c r="B4" s="8" t="s">
        <v>39</v>
      </c>
      <c r="C4" s="8" t="s">
        <v>48</v>
      </c>
      <c r="D4" s="8" t="s">
        <v>127</v>
      </c>
      <c r="E4" s="8" t="s">
        <v>128</v>
      </c>
      <c r="F4" s="8" t="s">
        <v>129</v>
      </c>
      <c r="G4" s="8" t="s">
        <v>130</v>
      </c>
      <c r="H4" s="8" t="s">
        <v>131</v>
      </c>
      <c r="I4" s="3"/>
      <c r="J4" s="3"/>
      <c r="K4" s="3"/>
      <c r="L4" s="8" t="s">
        <v>127</v>
      </c>
      <c r="M4" s="8" t="s">
        <v>132</v>
      </c>
      <c r="N4" s="8" t="s">
        <v>129</v>
      </c>
    </row>
    <row r="5" spans="1:14" ht="24" customHeight="1" x14ac:dyDescent="0.45">
      <c r="A5" s="3">
        <v>1</v>
      </c>
      <c r="B5" s="3" t="s">
        <v>0</v>
      </c>
      <c r="C5" s="3" t="s">
        <v>40</v>
      </c>
      <c r="D5" s="3" t="s">
        <v>133</v>
      </c>
      <c r="E5" s="15">
        <v>1.5</v>
      </c>
      <c r="F5" s="3" t="s">
        <v>134</v>
      </c>
      <c r="G5" s="6">
        <f>IF(ISNUMBER($M$5),$M$5,NA())</f>
        <v>0.13106575963718819</v>
      </c>
      <c r="H5" s="6">
        <f t="shared" ref="H5:H47" si="0">IF(ISNUMBER(E5),E5*G5,NA())</f>
        <v>0.19659863945578229</v>
      </c>
      <c r="I5" s="3"/>
      <c r="J5" s="3"/>
      <c r="K5" s="3"/>
      <c r="L5" s="3" t="s">
        <v>133</v>
      </c>
      <c r="M5" s="16">
        <v>0.13106575963718819</v>
      </c>
      <c r="N5" s="3" t="s">
        <v>134</v>
      </c>
    </row>
    <row r="6" spans="1:14" ht="24" customHeight="1" x14ac:dyDescent="0.45">
      <c r="A6" s="3">
        <v>1</v>
      </c>
      <c r="B6" s="3" t="s">
        <v>0</v>
      </c>
      <c r="C6" s="3" t="s">
        <v>40</v>
      </c>
      <c r="D6" s="3" t="s">
        <v>135</v>
      </c>
      <c r="E6" s="15">
        <v>5.0000000000000001E-3</v>
      </c>
      <c r="F6" s="3" t="s">
        <v>136</v>
      </c>
      <c r="G6" s="6">
        <f>IF(ISNUMBER($M$6),$M$6,NA())</f>
        <v>14.285714285714285</v>
      </c>
      <c r="H6" s="6">
        <f t="shared" si="0"/>
        <v>7.1428571428571425E-2</v>
      </c>
      <c r="I6" s="3"/>
      <c r="J6" s="3"/>
      <c r="K6" s="3"/>
      <c r="L6" s="3" t="s">
        <v>135</v>
      </c>
      <c r="M6" s="16">
        <v>14.285714285714285</v>
      </c>
      <c r="N6" s="3" t="s">
        <v>136</v>
      </c>
    </row>
    <row r="7" spans="1:14" ht="24" customHeight="1" x14ac:dyDescent="0.45">
      <c r="A7" s="3">
        <v>1</v>
      </c>
      <c r="B7" s="3" t="s">
        <v>0</v>
      </c>
      <c r="C7" s="3" t="s">
        <v>40</v>
      </c>
      <c r="D7" s="3" t="s">
        <v>137</v>
      </c>
      <c r="E7" s="15">
        <v>0.02</v>
      </c>
      <c r="F7" s="3" t="s">
        <v>136</v>
      </c>
      <c r="G7" s="6">
        <f>IF(ISNUMBER($M$7),$M$7,NA())</f>
        <v>23.80952380952381</v>
      </c>
      <c r="H7" s="6">
        <f t="shared" si="0"/>
        <v>0.47619047619047622</v>
      </c>
      <c r="I7" s="3"/>
      <c r="J7" s="3"/>
      <c r="K7" s="3"/>
      <c r="L7" s="3" t="s">
        <v>137</v>
      </c>
      <c r="M7" s="16">
        <v>23.80952380952381</v>
      </c>
      <c r="N7" s="3" t="s">
        <v>136</v>
      </c>
    </row>
    <row r="8" spans="1:14" ht="24" customHeight="1" x14ac:dyDescent="0.45">
      <c r="A8" s="3">
        <v>1</v>
      </c>
      <c r="B8" s="3" t="s">
        <v>0</v>
      </c>
      <c r="C8" s="3" t="s">
        <v>40</v>
      </c>
      <c r="D8" s="3" t="s">
        <v>138</v>
      </c>
      <c r="E8" s="15">
        <v>0.03</v>
      </c>
      <c r="F8" s="3" t="s">
        <v>136</v>
      </c>
      <c r="G8" s="6">
        <f>IF(ISNUMBER($M$8),$M$8,NA())</f>
        <v>12</v>
      </c>
      <c r="H8" s="6">
        <f t="shared" si="0"/>
        <v>0.36</v>
      </c>
      <c r="I8" s="3"/>
      <c r="J8" s="3"/>
      <c r="K8" s="3"/>
      <c r="L8" s="3" t="s">
        <v>138</v>
      </c>
      <c r="M8" s="16">
        <v>12</v>
      </c>
      <c r="N8" s="3" t="s">
        <v>136</v>
      </c>
    </row>
    <row r="9" spans="1:14" ht="24" customHeight="1" x14ac:dyDescent="0.45">
      <c r="A9" s="3">
        <v>2</v>
      </c>
      <c r="B9" s="3" t="s">
        <v>0</v>
      </c>
      <c r="C9" s="3" t="s">
        <v>5</v>
      </c>
      <c r="D9" s="3" t="s">
        <v>139</v>
      </c>
      <c r="E9" s="15">
        <v>1.2E-2</v>
      </c>
      <c r="F9" s="3" t="s">
        <v>136</v>
      </c>
      <c r="G9" s="6">
        <f>IF(ISNUMBER($M$20),$M$20,NA())</f>
        <v>5</v>
      </c>
      <c r="H9" s="6">
        <f t="shared" si="0"/>
        <v>0.06</v>
      </c>
      <c r="I9" s="3"/>
      <c r="J9" s="3"/>
      <c r="K9" s="3"/>
      <c r="L9" s="3" t="s">
        <v>140</v>
      </c>
      <c r="M9" s="16">
        <v>0.5357142857142857</v>
      </c>
      <c r="N9" s="3" t="s">
        <v>134</v>
      </c>
    </row>
    <row r="10" spans="1:14" ht="24" customHeight="1" x14ac:dyDescent="0.45">
      <c r="A10" s="3">
        <v>2</v>
      </c>
      <c r="B10" s="3" t="s">
        <v>0</v>
      </c>
      <c r="C10" s="3" t="s">
        <v>5</v>
      </c>
      <c r="D10" s="3" t="s">
        <v>141</v>
      </c>
      <c r="E10" s="15">
        <v>0.08</v>
      </c>
      <c r="F10" s="3" t="s">
        <v>136</v>
      </c>
      <c r="G10" s="6">
        <f>IF(ISNUMBER($M$21),$M$21,NA())</f>
        <v>4.3809523809523805</v>
      </c>
      <c r="H10" s="6">
        <f t="shared" si="0"/>
        <v>0.35047619047619044</v>
      </c>
      <c r="I10" s="3"/>
      <c r="J10" s="3"/>
      <c r="K10" s="3"/>
      <c r="L10" s="3" t="s">
        <v>142</v>
      </c>
      <c r="M10" s="16">
        <v>10</v>
      </c>
      <c r="N10" s="3" t="s">
        <v>136</v>
      </c>
    </row>
    <row r="11" spans="1:14" ht="24" customHeight="1" x14ac:dyDescent="0.45">
      <c r="A11" s="3">
        <v>2</v>
      </c>
      <c r="B11" s="3" t="s">
        <v>0</v>
      </c>
      <c r="C11" s="3" t="s">
        <v>5</v>
      </c>
      <c r="D11" s="3" t="s">
        <v>143</v>
      </c>
      <c r="E11" s="15">
        <v>2.5000000000000001E-2</v>
      </c>
      <c r="F11" s="3" t="s">
        <v>136</v>
      </c>
      <c r="G11" s="6">
        <f>IF(ISNUMBER($M$22),$M$22,NA())</f>
        <v>3</v>
      </c>
      <c r="H11" s="6">
        <f t="shared" si="0"/>
        <v>7.5000000000000011E-2</v>
      </c>
      <c r="I11" s="3"/>
      <c r="J11" s="3"/>
      <c r="K11" s="3"/>
      <c r="L11" s="3" t="s">
        <v>144</v>
      </c>
      <c r="M11" s="16">
        <v>3</v>
      </c>
      <c r="N11" s="3" t="s">
        <v>136</v>
      </c>
    </row>
    <row r="12" spans="1:14" ht="24" customHeight="1" x14ac:dyDescent="0.45">
      <c r="A12" s="3">
        <v>2</v>
      </c>
      <c r="B12" s="3" t="s">
        <v>0</v>
      </c>
      <c r="C12" s="3" t="s">
        <v>5</v>
      </c>
      <c r="D12" s="3" t="s">
        <v>145</v>
      </c>
      <c r="E12" s="15">
        <v>0.01</v>
      </c>
      <c r="F12" s="3" t="s">
        <v>136</v>
      </c>
      <c r="G12" s="6">
        <f>IF(ISNUMBER($M$23),$M$23,NA())</f>
        <v>8</v>
      </c>
      <c r="H12" s="6">
        <f t="shared" si="0"/>
        <v>0.08</v>
      </c>
      <c r="I12" s="3"/>
      <c r="J12" s="3"/>
      <c r="K12" s="3"/>
      <c r="L12" s="3" t="s">
        <v>146</v>
      </c>
      <c r="M12" s="16">
        <v>2.2857142857142856</v>
      </c>
      <c r="N12" s="3" t="s">
        <v>147</v>
      </c>
    </row>
    <row r="13" spans="1:14" ht="24" customHeight="1" x14ac:dyDescent="0.45">
      <c r="A13" s="3">
        <v>2</v>
      </c>
      <c r="B13" s="3" t="s">
        <v>0</v>
      </c>
      <c r="C13" s="3" t="s">
        <v>5</v>
      </c>
      <c r="D13" s="3" t="s">
        <v>148</v>
      </c>
      <c r="E13" s="15">
        <v>5.0000000000000001E-3</v>
      </c>
      <c r="F13" s="3" t="s">
        <v>136</v>
      </c>
      <c r="G13" s="6">
        <f>IF(ISNUMBER($M$24),$M$24,NA())</f>
        <v>5</v>
      </c>
      <c r="H13" s="6">
        <f t="shared" si="0"/>
        <v>2.5000000000000001E-2</v>
      </c>
      <c r="I13" s="3"/>
      <c r="J13" s="3"/>
      <c r="K13" s="3"/>
      <c r="L13" s="3" t="s">
        <v>149</v>
      </c>
      <c r="M13" s="16">
        <v>1.1428571428571428</v>
      </c>
      <c r="N13" s="3" t="s">
        <v>134</v>
      </c>
    </row>
    <row r="14" spans="1:14" ht="24" customHeight="1" x14ac:dyDescent="0.45">
      <c r="A14" s="3">
        <v>2</v>
      </c>
      <c r="B14" s="3" t="s">
        <v>0</v>
      </c>
      <c r="C14" s="3" t="s">
        <v>5</v>
      </c>
      <c r="D14" s="3" t="s">
        <v>150</v>
      </c>
      <c r="E14" s="15">
        <v>3.0000000000000001E-3</v>
      </c>
      <c r="F14" s="3" t="s">
        <v>147</v>
      </c>
      <c r="G14" s="6">
        <f>IF(ISNUMBER($M$33),$M$33,NA())</f>
        <v>7</v>
      </c>
      <c r="H14" s="6">
        <f t="shared" si="0"/>
        <v>2.1000000000000001E-2</v>
      </c>
      <c r="I14" s="3"/>
      <c r="J14" s="3"/>
      <c r="K14" s="3"/>
      <c r="L14" s="3" t="s">
        <v>151</v>
      </c>
      <c r="M14" s="16">
        <v>6</v>
      </c>
      <c r="N14" s="3" t="s">
        <v>136</v>
      </c>
    </row>
    <row r="15" spans="1:14" ht="24" customHeight="1" x14ac:dyDescent="0.45">
      <c r="A15" s="3">
        <v>2</v>
      </c>
      <c r="B15" s="3" t="s">
        <v>0</v>
      </c>
      <c r="C15" s="3" t="s">
        <v>5</v>
      </c>
      <c r="D15" s="3" t="s">
        <v>152</v>
      </c>
      <c r="E15" s="15">
        <v>0.08</v>
      </c>
      <c r="F15" s="3" t="s">
        <v>153</v>
      </c>
      <c r="G15" s="6">
        <f>IF(ISNUMBER($M$53),$M$53,NA())</f>
        <v>1</v>
      </c>
      <c r="H15" s="6">
        <f t="shared" si="0"/>
        <v>0.08</v>
      </c>
      <c r="I15" s="3"/>
      <c r="J15" s="3"/>
      <c r="K15" s="3"/>
      <c r="L15" s="3" t="s">
        <v>154</v>
      </c>
      <c r="M15" s="16">
        <v>13</v>
      </c>
      <c r="N15" s="3" t="s">
        <v>147</v>
      </c>
    </row>
    <row r="16" spans="1:14" ht="24" customHeight="1" x14ac:dyDescent="0.45">
      <c r="A16" s="3">
        <v>3</v>
      </c>
      <c r="B16" s="3" t="s">
        <v>0</v>
      </c>
      <c r="C16" s="3" t="s">
        <v>41</v>
      </c>
      <c r="D16" s="3" t="s">
        <v>155</v>
      </c>
      <c r="E16" s="15">
        <v>0.08</v>
      </c>
      <c r="F16" s="3" t="s">
        <v>136</v>
      </c>
      <c r="G16" s="6">
        <f>IF(ISNUMBER($M$32),$M$32,NA())</f>
        <v>19.047619047619047</v>
      </c>
      <c r="H16" s="6">
        <f t="shared" si="0"/>
        <v>1.5238095238095237</v>
      </c>
      <c r="I16" s="3"/>
      <c r="J16" s="3"/>
      <c r="K16" s="3"/>
      <c r="L16" s="3" t="s">
        <v>156</v>
      </c>
      <c r="M16" s="16">
        <v>14</v>
      </c>
      <c r="N16" s="3" t="s">
        <v>136</v>
      </c>
    </row>
    <row r="17" spans="1:14" ht="24" customHeight="1" x14ac:dyDescent="0.45">
      <c r="A17" s="3">
        <v>3</v>
      </c>
      <c r="B17" s="3" t="s">
        <v>0</v>
      </c>
      <c r="C17" s="3" t="s">
        <v>41</v>
      </c>
      <c r="D17" s="3" t="s">
        <v>157</v>
      </c>
      <c r="E17" s="15">
        <v>1.4999999999999999E-2</v>
      </c>
      <c r="F17" s="3" t="s">
        <v>136</v>
      </c>
      <c r="G17" s="6">
        <f>IF(ISNUMBER($M$34),$M$34,NA())</f>
        <v>5</v>
      </c>
      <c r="H17" s="6">
        <f t="shared" si="0"/>
        <v>7.4999999999999997E-2</v>
      </c>
      <c r="I17" s="3"/>
      <c r="J17" s="3"/>
      <c r="K17" s="3"/>
      <c r="L17" s="3" t="s">
        <v>158</v>
      </c>
      <c r="M17" s="16">
        <v>12</v>
      </c>
      <c r="N17" s="3" t="s">
        <v>136</v>
      </c>
    </row>
    <row r="18" spans="1:14" ht="24" customHeight="1" x14ac:dyDescent="0.45">
      <c r="A18" s="3">
        <v>3</v>
      </c>
      <c r="B18" s="3" t="s">
        <v>0</v>
      </c>
      <c r="C18" s="3" t="s">
        <v>41</v>
      </c>
      <c r="D18" s="3" t="s">
        <v>144</v>
      </c>
      <c r="E18" s="15">
        <v>5.0000000000000001E-3</v>
      </c>
      <c r="F18" s="3" t="s">
        <v>136</v>
      </c>
      <c r="G18" s="6">
        <f>IF(ISNUMBER($M$11),$M$11,NA())</f>
        <v>3</v>
      </c>
      <c r="H18" s="6">
        <f t="shared" si="0"/>
        <v>1.4999999999999999E-2</v>
      </c>
      <c r="I18" s="3"/>
      <c r="J18" s="3"/>
      <c r="K18" s="3"/>
      <c r="L18" s="3" t="s">
        <v>159</v>
      </c>
      <c r="M18" s="16">
        <v>0.38095238095238093</v>
      </c>
      <c r="N18" s="3" t="s">
        <v>134</v>
      </c>
    </row>
    <row r="19" spans="1:14" ht="24" customHeight="1" x14ac:dyDescent="0.45">
      <c r="A19" s="3">
        <v>3</v>
      </c>
      <c r="B19" s="3" t="s">
        <v>0</v>
      </c>
      <c r="C19" s="3" t="s">
        <v>41</v>
      </c>
      <c r="D19" s="3" t="s">
        <v>149</v>
      </c>
      <c r="E19" s="15">
        <v>0.15</v>
      </c>
      <c r="F19" s="3" t="s">
        <v>134</v>
      </c>
      <c r="G19" s="6">
        <f>IF(ISNUMBER($M$13),$M$13,NA())</f>
        <v>1.1428571428571428</v>
      </c>
      <c r="H19" s="6">
        <f t="shared" si="0"/>
        <v>0.1714285714285714</v>
      </c>
      <c r="I19" s="3"/>
      <c r="J19" s="3"/>
      <c r="K19" s="3"/>
      <c r="L19" s="3" t="s">
        <v>160</v>
      </c>
      <c r="M19" s="16">
        <v>8</v>
      </c>
      <c r="N19" s="3" t="s">
        <v>136</v>
      </c>
    </row>
    <row r="20" spans="1:14" ht="24" customHeight="1" x14ac:dyDescent="0.45">
      <c r="A20" s="3">
        <v>3</v>
      </c>
      <c r="B20" s="3" t="s">
        <v>0</v>
      </c>
      <c r="C20" s="3" t="s">
        <v>41</v>
      </c>
      <c r="D20" s="3" t="s">
        <v>150</v>
      </c>
      <c r="E20" s="15">
        <v>8.0000000000000002E-3</v>
      </c>
      <c r="F20" s="3" t="s">
        <v>147</v>
      </c>
      <c r="G20" s="6">
        <f>IF(ISNUMBER($M$33),$M$33,NA())</f>
        <v>7</v>
      </c>
      <c r="H20" s="6">
        <f t="shared" si="0"/>
        <v>5.6000000000000001E-2</v>
      </c>
      <c r="I20" s="3"/>
      <c r="J20" s="3"/>
      <c r="K20" s="3"/>
      <c r="L20" s="3" t="s">
        <v>139</v>
      </c>
      <c r="M20" s="16">
        <v>5</v>
      </c>
      <c r="N20" s="3" t="s">
        <v>136</v>
      </c>
    </row>
    <row r="21" spans="1:14" ht="24" customHeight="1" x14ac:dyDescent="0.45">
      <c r="A21" s="3">
        <v>3</v>
      </c>
      <c r="B21" s="3" t="s">
        <v>0</v>
      </c>
      <c r="C21" s="3" t="s">
        <v>41</v>
      </c>
      <c r="D21" s="3" t="s">
        <v>161</v>
      </c>
      <c r="E21" s="15">
        <v>0.04</v>
      </c>
      <c r="F21" s="3" t="s">
        <v>136</v>
      </c>
      <c r="G21" s="6">
        <f>IF(ISNUMBER($M$25),$M$25,NA())</f>
        <v>6.2</v>
      </c>
      <c r="H21" s="6">
        <f t="shared" si="0"/>
        <v>0.24800000000000003</v>
      </c>
      <c r="I21" s="3"/>
      <c r="J21" s="3"/>
      <c r="K21" s="3"/>
      <c r="L21" s="3" t="s">
        <v>141</v>
      </c>
      <c r="M21" s="16">
        <v>4.3809523809523805</v>
      </c>
      <c r="N21" s="3" t="s">
        <v>136</v>
      </c>
    </row>
    <row r="22" spans="1:14" ht="24" customHeight="1" x14ac:dyDescent="0.45">
      <c r="A22" s="3">
        <v>3</v>
      </c>
      <c r="B22" s="3" t="s">
        <v>0</v>
      </c>
      <c r="C22" s="3" t="s">
        <v>41</v>
      </c>
      <c r="D22" s="3" t="s">
        <v>162</v>
      </c>
      <c r="E22" s="15">
        <v>3.2000000000000001E-2</v>
      </c>
      <c r="F22" s="3" t="s">
        <v>136</v>
      </c>
      <c r="G22" s="6">
        <f>IF(ISNUMBER($M$35),$M$35,NA())</f>
        <v>9</v>
      </c>
      <c r="H22" s="6">
        <f t="shared" si="0"/>
        <v>0.28800000000000003</v>
      </c>
      <c r="I22" s="3"/>
      <c r="J22" s="3"/>
      <c r="K22" s="3"/>
      <c r="L22" s="3" t="s">
        <v>143</v>
      </c>
      <c r="M22" s="16">
        <v>3</v>
      </c>
      <c r="N22" s="3" t="s">
        <v>136</v>
      </c>
    </row>
    <row r="23" spans="1:14" ht="24" customHeight="1" x14ac:dyDescent="0.45">
      <c r="A23" s="3">
        <v>3</v>
      </c>
      <c r="B23" s="3" t="s">
        <v>0</v>
      </c>
      <c r="C23" s="3" t="s">
        <v>41</v>
      </c>
      <c r="D23" s="3" t="s">
        <v>151</v>
      </c>
      <c r="E23" s="15">
        <v>8.0000000000000002E-3</v>
      </c>
      <c r="F23" s="3" t="s">
        <v>136</v>
      </c>
      <c r="G23" s="6">
        <f>IF(ISNUMBER($M$14),$M$14,NA())</f>
        <v>6</v>
      </c>
      <c r="H23" s="6">
        <f t="shared" si="0"/>
        <v>4.8000000000000001E-2</v>
      </c>
      <c r="I23" s="3"/>
      <c r="J23" s="3"/>
      <c r="K23" s="3"/>
      <c r="L23" s="3" t="s">
        <v>145</v>
      </c>
      <c r="M23" s="16">
        <v>8</v>
      </c>
      <c r="N23" s="3" t="s">
        <v>136</v>
      </c>
    </row>
    <row r="24" spans="1:14" ht="24" customHeight="1" x14ac:dyDescent="0.45">
      <c r="A24" s="3">
        <v>3</v>
      </c>
      <c r="B24" s="3" t="s">
        <v>0</v>
      </c>
      <c r="C24" s="3" t="s">
        <v>41</v>
      </c>
      <c r="D24" s="3" t="s">
        <v>152</v>
      </c>
      <c r="E24" s="15">
        <v>0.08</v>
      </c>
      <c r="F24" s="3" t="s">
        <v>153</v>
      </c>
      <c r="G24" s="6">
        <f>IF(ISNUMBER($M$53),$M$53,NA())</f>
        <v>1</v>
      </c>
      <c r="H24" s="6">
        <f t="shared" si="0"/>
        <v>0.08</v>
      </c>
      <c r="I24" s="3"/>
      <c r="J24" s="3"/>
      <c r="K24" s="3"/>
      <c r="L24" s="3" t="s">
        <v>148</v>
      </c>
      <c r="M24" s="16">
        <v>5</v>
      </c>
      <c r="N24" s="3" t="s">
        <v>136</v>
      </c>
    </row>
    <row r="25" spans="1:14" ht="24" customHeight="1" x14ac:dyDescent="0.45">
      <c r="A25" s="3">
        <v>4</v>
      </c>
      <c r="B25" s="3" t="s">
        <v>0</v>
      </c>
      <c r="C25" s="3" t="s">
        <v>6</v>
      </c>
      <c r="D25" s="3" t="s">
        <v>163</v>
      </c>
      <c r="E25" s="15">
        <v>0.17391304347826086</v>
      </c>
      <c r="F25" s="3" t="s">
        <v>136</v>
      </c>
      <c r="G25" s="6">
        <f>IF(ISNUMBER($M$44),$M$44,NA())</f>
        <v>4.5714285714285712</v>
      </c>
      <c r="H25" s="6">
        <f t="shared" si="0"/>
        <v>0.79503105590062106</v>
      </c>
      <c r="I25" s="3"/>
      <c r="J25" s="3"/>
      <c r="K25" s="3"/>
      <c r="L25" s="3" t="s">
        <v>161</v>
      </c>
      <c r="M25" s="16">
        <v>6.2</v>
      </c>
      <c r="N25" s="3" t="s">
        <v>136</v>
      </c>
    </row>
    <row r="26" spans="1:14" ht="24" customHeight="1" x14ac:dyDescent="0.45">
      <c r="A26" s="3">
        <v>4</v>
      </c>
      <c r="B26" s="3" t="s">
        <v>0</v>
      </c>
      <c r="C26" s="3" t="s">
        <v>6</v>
      </c>
      <c r="D26" s="3" t="s">
        <v>164</v>
      </c>
      <c r="E26" s="15">
        <v>2.6086956521739136E-2</v>
      </c>
      <c r="F26" s="3" t="s">
        <v>136</v>
      </c>
      <c r="G26" s="6">
        <f>IF(ISNUMBER($M$45),$M$45,NA())</f>
        <v>8.7074829931972779</v>
      </c>
      <c r="H26" s="6">
        <f t="shared" si="0"/>
        <v>0.22715173025732033</v>
      </c>
      <c r="I26" s="3"/>
      <c r="J26" s="3"/>
      <c r="K26" s="3"/>
      <c r="L26" s="3" t="s">
        <v>165</v>
      </c>
      <c r="M26" s="16">
        <v>9</v>
      </c>
      <c r="N26" s="3" t="s">
        <v>136</v>
      </c>
    </row>
    <row r="27" spans="1:14" ht="24" customHeight="1" x14ac:dyDescent="0.45">
      <c r="A27" s="3">
        <v>4</v>
      </c>
      <c r="B27" s="3" t="s">
        <v>0</v>
      </c>
      <c r="C27" s="3" t="s">
        <v>6</v>
      </c>
      <c r="D27" s="3" t="s">
        <v>166</v>
      </c>
      <c r="E27" s="15">
        <v>1.4E-2</v>
      </c>
      <c r="F27" s="3" t="s">
        <v>136</v>
      </c>
      <c r="G27" s="6">
        <f>IF(ISNUMBER($M$46),$M$46,NA())</f>
        <v>12</v>
      </c>
      <c r="H27" s="6">
        <f t="shared" si="0"/>
        <v>0.16800000000000001</v>
      </c>
      <c r="I27" s="3"/>
      <c r="J27" s="3"/>
      <c r="K27" s="3"/>
      <c r="L27" s="3" t="s">
        <v>167</v>
      </c>
      <c r="M27" s="16">
        <v>5</v>
      </c>
      <c r="N27" s="3" t="s">
        <v>136</v>
      </c>
    </row>
    <row r="28" spans="1:14" ht="24" customHeight="1" x14ac:dyDescent="0.45">
      <c r="A28" s="3">
        <v>5</v>
      </c>
      <c r="B28" s="3" t="s">
        <v>1</v>
      </c>
      <c r="C28" s="3" t="s">
        <v>40</v>
      </c>
      <c r="D28" s="3" t="s">
        <v>140</v>
      </c>
      <c r="E28" s="15">
        <v>1.5</v>
      </c>
      <c r="F28" s="3" t="s">
        <v>134</v>
      </c>
      <c r="G28" s="6">
        <f>IF(ISNUMBER($M$9),$M$9,NA())</f>
        <v>0.5357142857142857</v>
      </c>
      <c r="H28" s="6">
        <f t="shared" si="0"/>
        <v>0.8035714285714286</v>
      </c>
      <c r="I28" s="3"/>
      <c r="J28" s="3"/>
      <c r="K28" s="3"/>
      <c r="L28" s="3" t="s">
        <v>168</v>
      </c>
      <c r="M28" s="16">
        <v>3</v>
      </c>
      <c r="N28" s="3" t="s">
        <v>136</v>
      </c>
    </row>
    <row r="29" spans="1:14" ht="24" customHeight="1" x14ac:dyDescent="0.45">
      <c r="A29" s="3">
        <v>5</v>
      </c>
      <c r="B29" s="3" t="s">
        <v>1</v>
      </c>
      <c r="C29" s="3" t="s">
        <v>40</v>
      </c>
      <c r="D29" s="3" t="s">
        <v>133</v>
      </c>
      <c r="E29" s="15">
        <v>1.5</v>
      </c>
      <c r="F29" s="3" t="s">
        <v>134</v>
      </c>
      <c r="G29" s="6">
        <f>IF(ISNUMBER($M$5),$M$5,NA())</f>
        <v>0.13106575963718819</v>
      </c>
      <c r="H29" s="6">
        <f t="shared" si="0"/>
        <v>0.19659863945578229</v>
      </c>
      <c r="I29" s="3"/>
      <c r="J29" s="3"/>
      <c r="K29" s="3"/>
      <c r="L29" s="3" t="s">
        <v>169</v>
      </c>
      <c r="M29" s="16">
        <v>4</v>
      </c>
      <c r="N29" s="3" t="s">
        <v>136</v>
      </c>
    </row>
    <row r="30" spans="1:14" ht="24" customHeight="1" x14ac:dyDescent="0.45">
      <c r="A30" s="3">
        <v>5</v>
      </c>
      <c r="B30" s="3" t="s">
        <v>1</v>
      </c>
      <c r="C30" s="3" t="s">
        <v>40</v>
      </c>
      <c r="D30" s="3" t="s">
        <v>142</v>
      </c>
      <c r="E30" s="15">
        <v>0.01</v>
      </c>
      <c r="F30" s="3" t="s">
        <v>136</v>
      </c>
      <c r="G30" s="6">
        <f>IF(ISNUMBER($M$10),$M$10,NA())</f>
        <v>10</v>
      </c>
      <c r="H30" s="6">
        <f t="shared" si="0"/>
        <v>0.1</v>
      </c>
      <c r="I30" s="3"/>
      <c r="J30" s="3"/>
      <c r="K30" s="3"/>
      <c r="L30" s="3" t="s">
        <v>170</v>
      </c>
      <c r="M30" s="16">
        <v>8</v>
      </c>
      <c r="N30" s="3" t="s">
        <v>136</v>
      </c>
    </row>
    <row r="31" spans="1:14" ht="24" customHeight="1" x14ac:dyDescent="0.45">
      <c r="A31" s="3">
        <v>6</v>
      </c>
      <c r="B31" s="3" t="s">
        <v>1</v>
      </c>
      <c r="C31" s="3" t="s">
        <v>5</v>
      </c>
      <c r="D31" s="3" t="s">
        <v>161</v>
      </c>
      <c r="E31" s="15">
        <v>1.2E-2</v>
      </c>
      <c r="F31" s="3" t="s">
        <v>136</v>
      </c>
      <c r="G31" s="6">
        <f>IF(ISNUMBER($M$25),$M$25,NA())</f>
        <v>6.2</v>
      </c>
      <c r="H31" s="6">
        <f t="shared" si="0"/>
        <v>7.4400000000000008E-2</v>
      </c>
      <c r="I31" s="3"/>
      <c r="J31" s="3"/>
      <c r="K31" s="3"/>
      <c r="L31" s="3" t="s">
        <v>171</v>
      </c>
      <c r="M31" s="16">
        <v>12</v>
      </c>
      <c r="N31" s="3" t="s">
        <v>136</v>
      </c>
    </row>
    <row r="32" spans="1:14" ht="24" customHeight="1" x14ac:dyDescent="0.45">
      <c r="A32" s="3">
        <v>6</v>
      </c>
      <c r="B32" s="3" t="s">
        <v>1</v>
      </c>
      <c r="C32" s="3" t="s">
        <v>5</v>
      </c>
      <c r="D32" s="3" t="s">
        <v>141</v>
      </c>
      <c r="E32" s="15">
        <v>0</v>
      </c>
      <c r="F32" s="3" t="s">
        <v>136</v>
      </c>
      <c r="G32" s="6">
        <f>IF(ISNUMBER($M$21),$M$21,NA())</f>
        <v>4.3809523809523805</v>
      </c>
      <c r="H32" s="6">
        <f t="shared" si="0"/>
        <v>0</v>
      </c>
      <c r="I32" s="3"/>
      <c r="J32" s="3"/>
      <c r="K32" s="3"/>
      <c r="L32" s="3" t="s">
        <v>155</v>
      </c>
      <c r="M32" s="16">
        <v>19.047619047619047</v>
      </c>
      <c r="N32" s="3" t="s">
        <v>136</v>
      </c>
    </row>
    <row r="33" spans="1:14" ht="24" customHeight="1" x14ac:dyDescent="0.45">
      <c r="A33" s="3">
        <v>6</v>
      </c>
      <c r="B33" s="3" t="s">
        <v>1</v>
      </c>
      <c r="C33" s="3" t="s">
        <v>5</v>
      </c>
      <c r="D33" s="3" t="s">
        <v>143</v>
      </c>
      <c r="E33" s="15">
        <v>1.4999999999999999E-2</v>
      </c>
      <c r="F33" s="3" t="s">
        <v>136</v>
      </c>
      <c r="G33" s="6">
        <f>IF(ISNUMBER($M$22),$M$22,NA())</f>
        <v>3</v>
      </c>
      <c r="H33" s="6">
        <f t="shared" si="0"/>
        <v>4.4999999999999998E-2</v>
      </c>
      <c r="I33" s="3"/>
      <c r="J33" s="3"/>
      <c r="K33" s="3"/>
      <c r="L33" s="3" t="s">
        <v>150</v>
      </c>
      <c r="M33" s="16">
        <v>7</v>
      </c>
      <c r="N33" s="3" t="s">
        <v>147</v>
      </c>
    </row>
    <row r="34" spans="1:14" ht="24" customHeight="1" x14ac:dyDescent="0.45">
      <c r="A34" s="3">
        <v>6</v>
      </c>
      <c r="B34" s="3" t="s">
        <v>1</v>
      </c>
      <c r="C34" s="3" t="s">
        <v>5</v>
      </c>
      <c r="D34" s="3" t="s">
        <v>145</v>
      </c>
      <c r="E34" s="15">
        <v>0.01</v>
      </c>
      <c r="F34" s="3" t="s">
        <v>136</v>
      </c>
      <c r="G34" s="6">
        <f>IF(ISNUMBER($M$23),$M$23,NA())</f>
        <v>8</v>
      </c>
      <c r="H34" s="6">
        <f t="shared" si="0"/>
        <v>0.08</v>
      </c>
      <c r="I34" s="3"/>
      <c r="J34" s="3"/>
      <c r="K34" s="3"/>
      <c r="L34" s="3" t="s">
        <v>157</v>
      </c>
      <c r="M34" s="16">
        <v>5</v>
      </c>
      <c r="N34" s="3" t="s">
        <v>136</v>
      </c>
    </row>
    <row r="35" spans="1:14" ht="24" customHeight="1" x14ac:dyDescent="0.45">
      <c r="A35" s="3">
        <v>6</v>
      </c>
      <c r="B35" s="3" t="s">
        <v>1</v>
      </c>
      <c r="C35" s="3" t="s">
        <v>5</v>
      </c>
      <c r="D35" s="3" t="s">
        <v>148</v>
      </c>
      <c r="E35" s="15">
        <v>5.0000000000000001E-3</v>
      </c>
      <c r="F35" s="3" t="s">
        <v>136</v>
      </c>
      <c r="G35" s="6">
        <f>IF(ISNUMBER($M$24),$M$24,NA())</f>
        <v>5</v>
      </c>
      <c r="H35" s="6">
        <f t="shared" si="0"/>
        <v>2.5000000000000001E-2</v>
      </c>
      <c r="I35" s="3"/>
      <c r="J35" s="3"/>
      <c r="K35" s="3"/>
      <c r="L35" s="3" t="s">
        <v>162</v>
      </c>
      <c r="M35" s="16">
        <v>9</v>
      </c>
      <c r="N35" s="3" t="s">
        <v>136</v>
      </c>
    </row>
    <row r="36" spans="1:14" ht="24" customHeight="1" x14ac:dyDescent="0.45">
      <c r="A36" s="3">
        <v>6</v>
      </c>
      <c r="B36" s="3" t="s">
        <v>1</v>
      </c>
      <c r="C36" s="3" t="s">
        <v>5</v>
      </c>
      <c r="D36" s="3" t="s">
        <v>150</v>
      </c>
      <c r="E36" s="15">
        <v>3.0000000000000001E-3</v>
      </c>
      <c r="F36" s="3" t="s">
        <v>147</v>
      </c>
      <c r="G36" s="6">
        <f>IF(ISNUMBER($M$33),$M$33,NA())</f>
        <v>7</v>
      </c>
      <c r="H36" s="6">
        <f t="shared" si="0"/>
        <v>2.1000000000000001E-2</v>
      </c>
      <c r="I36" s="3"/>
      <c r="J36" s="3"/>
      <c r="K36" s="3"/>
      <c r="L36" s="3" t="s">
        <v>172</v>
      </c>
      <c r="M36" s="16">
        <v>11.428571428571429</v>
      </c>
      <c r="N36" s="3" t="s">
        <v>136</v>
      </c>
    </row>
    <row r="37" spans="1:14" ht="24" customHeight="1" x14ac:dyDescent="0.45">
      <c r="A37" s="3">
        <v>6</v>
      </c>
      <c r="B37" s="3" t="s">
        <v>1</v>
      </c>
      <c r="C37" s="3" t="s">
        <v>5</v>
      </c>
      <c r="D37" s="3" t="s">
        <v>152</v>
      </c>
      <c r="E37" s="15">
        <v>0.08</v>
      </c>
      <c r="F37" s="3" t="s">
        <v>153</v>
      </c>
      <c r="G37" s="6">
        <f>IF(ISNUMBER($M$53),$M$53,NA())</f>
        <v>1</v>
      </c>
      <c r="H37" s="6">
        <f t="shared" si="0"/>
        <v>0.08</v>
      </c>
      <c r="I37" s="3"/>
      <c r="J37" s="3"/>
      <c r="K37" s="3"/>
      <c r="L37" s="3" t="s">
        <v>173</v>
      </c>
      <c r="M37" s="16">
        <v>3</v>
      </c>
      <c r="N37" s="3" t="s">
        <v>136</v>
      </c>
    </row>
    <row r="38" spans="1:14" ht="24" customHeight="1" x14ac:dyDescent="0.45">
      <c r="A38" s="3">
        <v>7</v>
      </c>
      <c r="B38" s="3" t="s">
        <v>1</v>
      </c>
      <c r="C38" s="3" t="s">
        <v>41</v>
      </c>
      <c r="D38" s="3" t="s">
        <v>172</v>
      </c>
      <c r="E38" s="15">
        <v>0.04</v>
      </c>
      <c r="F38" s="3" t="s">
        <v>136</v>
      </c>
      <c r="G38" s="6">
        <f>IF(ISNUMBER($M$36),$M$36,NA())</f>
        <v>11.428571428571429</v>
      </c>
      <c r="H38" s="6">
        <f t="shared" si="0"/>
        <v>0.45714285714285718</v>
      </c>
      <c r="I38" s="3"/>
      <c r="J38" s="3"/>
      <c r="K38" s="3"/>
      <c r="L38" s="3" t="s">
        <v>174</v>
      </c>
      <c r="M38" s="16">
        <v>6</v>
      </c>
      <c r="N38" s="3" t="s">
        <v>136</v>
      </c>
    </row>
    <row r="39" spans="1:14" ht="24" customHeight="1" x14ac:dyDescent="0.45">
      <c r="A39" s="3">
        <v>7</v>
      </c>
      <c r="B39" s="3" t="s">
        <v>1</v>
      </c>
      <c r="C39" s="3" t="s">
        <v>41</v>
      </c>
      <c r="D39" s="3" t="s">
        <v>173</v>
      </c>
      <c r="E39" s="15">
        <v>5.0000000000000001E-3</v>
      </c>
      <c r="F39" s="3" t="s">
        <v>136</v>
      </c>
      <c r="G39" s="6">
        <f>IF(ISNUMBER($M$37),$M$37,NA())</f>
        <v>3</v>
      </c>
      <c r="H39" s="6">
        <f t="shared" si="0"/>
        <v>1.4999999999999999E-2</v>
      </c>
      <c r="I39" s="3"/>
      <c r="J39" s="3"/>
      <c r="K39" s="3"/>
      <c r="L39" s="3" t="s">
        <v>175</v>
      </c>
      <c r="M39" s="16">
        <v>9</v>
      </c>
      <c r="N39" s="3" t="s">
        <v>136</v>
      </c>
    </row>
    <row r="40" spans="1:14" ht="24" customHeight="1" x14ac:dyDescent="0.45">
      <c r="A40" s="3">
        <v>7</v>
      </c>
      <c r="B40" s="3" t="s">
        <v>1</v>
      </c>
      <c r="C40" s="3" t="s">
        <v>41</v>
      </c>
      <c r="D40" s="3" t="s">
        <v>171</v>
      </c>
      <c r="E40" s="15">
        <v>0.01</v>
      </c>
      <c r="F40" s="3" t="s">
        <v>136</v>
      </c>
      <c r="G40" s="6">
        <f>IF(ISNUMBER($M$31),$M$31,NA())</f>
        <v>12</v>
      </c>
      <c r="H40" s="6">
        <f t="shared" si="0"/>
        <v>0.12</v>
      </c>
      <c r="I40" s="3"/>
      <c r="J40" s="3"/>
      <c r="K40" s="3"/>
      <c r="L40" s="3" t="s">
        <v>176</v>
      </c>
      <c r="M40" s="16">
        <v>28</v>
      </c>
      <c r="N40" s="3" t="s">
        <v>136</v>
      </c>
    </row>
    <row r="41" spans="1:14" ht="24" customHeight="1" x14ac:dyDescent="0.45">
      <c r="A41" s="3">
        <v>7</v>
      </c>
      <c r="B41" s="3" t="s">
        <v>1</v>
      </c>
      <c r="C41" s="3" t="s">
        <v>41</v>
      </c>
      <c r="D41" s="3" t="s">
        <v>167</v>
      </c>
      <c r="E41" s="15">
        <v>4.8000000000000001E-2</v>
      </c>
      <c r="F41" s="3" t="s">
        <v>136</v>
      </c>
      <c r="G41" s="6">
        <f>IF(ISNUMBER($M$27),$M$27,NA())</f>
        <v>5</v>
      </c>
      <c r="H41" s="6">
        <f t="shared" si="0"/>
        <v>0.24</v>
      </c>
      <c r="I41" s="3"/>
      <c r="J41" s="3"/>
      <c r="K41" s="3"/>
      <c r="L41" s="3" t="s">
        <v>177</v>
      </c>
      <c r="M41" s="16">
        <v>3</v>
      </c>
      <c r="N41" s="3" t="s">
        <v>136</v>
      </c>
    </row>
    <row r="42" spans="1:14" ht="24" customHeight="1" x14ac:dyDescent="0.45">
      <c r="A42" s="3">
        <v>7</v>
      </c>
      <c r="B42" s="3" t="s">
        <v>1</v>
      </c>
      <c r="C42" s="3" t="s">
        <v>41</v>
      </c>
      <c r="D42" s="3" t="s">
        <v>150</v>
      </c>
      <c r="E42" s="15">
        <v>2E-3</v>
      </c>
      <c r="F42" s="3" t="s">
        <v>147</v>
      </c>
      <c r="G42" s="6">
        <f>IF(ISNUMBER($M$33),$M$33,NA())</f>
        <v>7</v>
      </c>
      <c r="H42" s="6">
        <f t="shared" si="0"/>
        <v>1.4E-2</v>
      </c>
      <c r="I42" s="3"/>
      <c r="J42" s="3"/>
      <c r="K42" s="3"/>
      <c r="L42" s="3" t="s">
        <v>178</v>
      </c>
      <c r="M42" s="16">
        <v>14.285714285714285</v>
      </c>
      <c r="N42" s="3" t="s">
        <v>136</v>
      </c>
    </row>
    <row r="43" spans="1:14" ht="24" customHeight="1" x14ac:dyDescent="0.45">
      <c r="A43" s="3">
        <v>7</v>
      </c>
      <c r="B43" s="3" t="s">
        <v>1</v>
      </c>
      <c r="C43" s="3" t="s">
        <v>41</v>
      </c>
      <c r="D43" s="3" t="s">
        <v>143</v>
      </c>
      <c r="E43" s="15">
        <v>0.02</v>
      </c>
      <c r="F43" s="3" t="s">
        <v>136</v>
      </c>
      <c r="G43" s="6">
        <f>IF(ISNUMBER($M$22),$M$22,NA())</f>
        <v>3</v>
      </c>
      <c r="H43" s="6">
        <f t="shared" si="0"/>
        <v>0.06</v>
      </c>
      <c r="I43" s="3"/>
      <c r="J43" s="3"/>
      <c r="K43" s="3"/>
      <c r="L43" s="3" t="s">
        <v>179</v>
      </c>
      <c r="M43" s="16">
        <v>3.5</v>
      </c>
      <c r="N43" s="3" t="s">
        <v>136</v>
      </c>
    </row>
    <row r="44" spans="1:14" ht="24" customHeight="1" x14ac:dyDescent="0.45">
      <c r="A44" s="3">
        <v>7</v>
      </c>
      <c r="B44" s="3" t="s">
        <v>1</v>
      </c>
      <c r="C44" s="3" t="s">
        <v>41</v>
      </c>
      <c r="D44" s="3" t="s">
        <v>152</v>
      </c>
      <c r="E44" s="15">
        <v>0.08</v>
      </c>
      <c r="F44" s="3" t="s">
        <v>153</v>
      </c>
      <c r="G44" s="6">
        <f>IF(ISNUMBER($M$53),$M$53,NA())</f>
        <v>1</v>
      </c>
      <c r="H44" s="6">
        <f t="shared" si="0"/>
        <v>0.08</v>
      </c>
      <c r="I44" s="3"/>
      <c r="J44" s="3"/>
      <c r="K44" s="3"/>
      <c r="L44" s="3" t="s">
        <v>163</v>
      </c>
      <c r="M44" s="16">
        <v>4.5714285714285712</v>
      </c>
      <c r="N44" s="3" t="s">
        <v>136</v>
      </c>
    </row>
    <row r="45" spans="1:14" ht="24" customHeight="1" x14ac:dyDescent="0.45">
      <c r="A45" s="3">
        <v>8</v>
      </c>
      <c r="B45" s="3" t="s">
        <v>1</v>
      </c>
      <c r="C45" s="3" t="s">
        <v>6</v>
      </c>
      <c r="D45" s="3" t="s">
        <v>146</v>
      </c>
      <c r="E45" s="15">
        <v>0.18</v>
      </c>
      <c r="F45" s="3" t="s">
        <v>147</v>
      </c>
      <c r="G45" s="6">
        <f>IF(ISNUMBER($M$12),$M$12,NA())</f>
        <v>2.2857142857142856</v>
      </c>
      <c r="H45" s="6">
        <f t="shared" si="0"/>
        <v>0.41142857142857137</v>
      </c>
      <c r="I45" s="3"/>
      <c r="J45" s="3"/>
      <c r="K45" s="3"/>
      <c r="L45" s="3" t="s">
        <v>164</v>
      </c>
      <c r="M45" s="16">
        <v>8.7074829931972779</v>
      </c>
      <c r="N45" s="3" t="s">
        <v>136</v>
      </c>
    </row>
    <row r="46" spans="1:14" ht="24" customHeight="1" x14ac:dyDescent="0.45">
      <c r="A46" s="3">
        <v>8</v>
      </c>
      <c r="B46" s="3" t="s">
        <v>1</v>
      </c>
      <c r="C46" s="3" t="s">
        <v>6</v>
      </c>
      <c r="D46" s="3" t="s">
        <v>180</v>
      </c>
      <c r="E46" s="15">
        <v>1.2E-2</v>
      </c>
      <c r="F46" s="3" t="s">
        <v>136</v>
      </c>
      <c r="G46" s="6">
        <f>IF(ISNUMBER($M$47),$M$47,NA())</f>
        <v>12</v>
      </c>
      <c r="H46" s="6">
        <f t="shared" si="0"/>
        <v>0.14400000000000002</v>
      </c>
      <c r="I46" s="3"/>
      <c r="J46" s="3"/>
      <c r="K46" s="3"/>
      <c r="L46" s="3" t="s">
        <v>166</v>
      </c>
      <c r="M46" s="16">
        <v>12</v>
      </c>
      <c r="N46" s="3" t="s">
        <v>136</v>
      </c>
    </row>
    <row r="47" spans="1:14" ht="24" customHeight="1" x14ac:dyDescent="0.45">
      <c r="A47" s="3">
        <v>8</v>
      </c>
      <c r="B47" s="3" t="s">
        <v>1</v>
      </c>
      <c r="C47" s="3" t="s">
        <v>6</v>
      </c>
      <c r="D47" s="3" t="s">
        <v>179</v>
      </c>
      <c r="E47" s="15">
        <v>8.0000000000000002E-3</v>
      </c>
      <c r="F47" s="3" t="s">
        <v>136</v>
      </c>
      <c r="G47" s="6">
        <f>IF(ISNUMBER($M$43),$M$43,NA())</f>
        <v>3.5</v>
      </c>
      <c r="H47" s="6">
        <f t="shared" si="0"/>
        <v>2.8000000000000001E-2</v>
      </c>
      <c r="I47" s="3"/>
      <c r="J47" s="3"/>
      <c r="K47" s="3"/>
      <c r="L47" s="3" t="s">
        <v>180</v>
      </c>
      <c r="M47" s="16">
        <v>12</v>
      </c>
      <c r="N47" s="3" t="s">
        <v>136</v>
      </c>
    </row>
    <row r="48" spans="1:14" ht="24" customHeight="1" x14ac:dyDescent="0.45">
      <c r="A48" s="3">
        <v>8</v>
      </c>
      <c r="B48" s="3" t="s">
        <v>1</v>
      </c>
      <c r="C48" s="3" t="s">
        <v>6</v>
      </c>
      <c r="D48" s="3" t="s">
        <v>181</v>
      </c>
      <c r="E48" s="15">
        <f>$M$165</f>
        <v>7.5000000000000011E-2</v>
      </c>
      <c r="F48" s="3" t="s">
        <v>182</v>
      </c>
      <c r="G48" s="43">
        <f>$M$164</f>
        <v>6.6666666666666661</v>
      </c>
      <c r="H48" s="43">
        <f>E48*G48</f>
        <v>0.5</v>
      </c>
      <c r="I48" s="3"/>
      <c r="J48" s="3"/>
      <c r="K48" s="3"/>
      <c r="L48" s="3" t="s">
        <v>183</v>
      </c>
      <c r="M48" s="16">
        <v>7.6190476190476186</v>
      </c>
      <c r="N48" s="3" t="s">
        <v>136</v>
      </c>
    </row>
    <row r="49" spans="1:14" ht="24" customHeight="1" x14ac:dyDescent="0.45">
      <c r="A49" s="3">
        <v>9</v>
      </c>
      <c r="B49" s="3" t="s">
        <v>2</v>
      </c>
      <c r="C49" s="3" t="s">
        <v>40</v>
      </c>
      <c r="D49" s="3" t="s">
        <v>184</v>
      </c>
      <c r="E49" s="15">
        <v>3</v>
      </c>
      <c r="F49" s="3" t="s">
        <v>134</v>
      </c>
      <c r="G49" s="6">
        <f>IF(ISNUMBER($M$111),$M$111,NA())</f>
        <v>0.7142857142857143</v>
      </c>
      <c r="H49" s="6">
        <f t="shared" ref="H49:H79" si="1">IF(ISNUMBER(E49),E49*G49,NA())</f>
        <v>2.1428571428571428</v>
      </c>
      <c r="I49" s="3"/>
      <c r="J49" s="3"/>
      <c r="K49" s="3"/>
      <c r="L49" s="3" t="s">
        <v>185</v>
      </c>
      <c r="M49" s="16">
        <v>9</v>
      </c>
      <c r="N49" s="3" t="s">
        <v>136</v>
      </c>
    </row>
    <row r="50" spans="1:14" ht="24" customHeight="1" x14ac:dyDescent="0.45">
      <c r="A50" s="3">
        <v>9</v>
      </c>
      <c r="B50" s="3" t="s">
        <v>2</v>
      </c>
      <c r="C50" s="3" t="s">
        <v>40</v>
      </c>
      <c r="D50" s="3" t="s">
        <v>146</v>
      </c>
      <c r="E50" s="15">
        <v>0</v>
      </c>
      <c r="F50" s="3" t="s">
        <v>147</v>
      </c>
      <c r="G50" s="6">
        <f>IF(ISNUMBER($M$12),$M$12,NA())</f>
        <v>2.2857142857142856</v>
      </c>
      <c r="H50" s="6">
        <f t="shared" si="1"/>
        <v>0</v>
      </c>
      <c r="I50" s="3"/>
      <c r="J50" s="3"/>
      <c r="K50" s="3"/>
      <c r="L50" s="3" t="s">
        <v>186</v>
      </c>
      <c r="M50" s="16">
        <v>9.2592592592592595</v>
      </c>
      <c r="N50" s="3" t="s">
        <v>136</v>
      </c>
    </row>
    <row r="51" spans="1:14" ht="24" customHeight="1" x14ac:dyDescent="0.45">
      <c r="A51" s="3">
        <v>9</v>
      </c>
      <c r="B51" s="3" t="s">
        <v>2</v>
      </c>
      <c r="C51" s="3" t="s">
        <v>40</v>
      </c>
      <c r="D51" s="3" t="s">
        <v>149</v>
      </c>
      <c r="E51" s="15">
        <v>0</v>
      </c>
      <c r="F51" s="3" t="s">
        <v>134</v>
      </c>
      <c r="G51" s="6">
        <f>IF(ISNUMBER($M$13),$M$13,NA())</f>
        <v>1.1428571428571428</v>
      </c>
      <c r="H51" s="6">
        <f t="shared" si="1"/>
        <v>0</v>
      </c>
      <c r="I51" s="3"/>
      <c r="J51" s="3"/>
      <c r="K51" s="3"/>
      <c r="L51" s="3" t="s">
        <v>187</v>
      </c>
      <c r="M51" s="16">
        <v>3.5</v>
      </c>
      <c r="N51" s="3" t="s">
        <v>136</v>
      </c>
    </row>
    <row r="52" spans="1:14" ht="24" customHeight="1" x14ac:dyDescent="0.45">
      <c r="A52" s="3">
        <v>9</v>
      </c>
      <c r="B52" s="3" t="s">
        <v>2</v>
      </c>
      <c r="C52" s="3" t="s">
        <v>40</v>
      </c>
      <c r="D52" s="3" t="s">
        <v>135</v>
      </c>
      <c r="E52" s="15">
        <v>0</v>
      </c>
      <c r="F52" s="3" t="s">
        <v>136</v>
      </c>
      <c r="G52" s="6">
        <f>IF(ISNUMBER($M$6),$M$6,NA())</f>
        <v>14.285714285714285</v>
      </c>
      <c r="H52" s="6">
        <f t="shared" si="1"/>
        <v>0</v>
      </c>
      <c r="I52" s="3"/>
      <c r="J52" s="3"/>
      <c r="K52" s="3"/>
      <c r="L52" s="3" t="s">
        <v>188</v>
      </c>
      <c r="M52" s="16">
        <v>19.047619047619047</v>
      </c>
      <c r="N52" s="3" t="s">
        <v>136</v>
      </c>
    </row>
    <row r="53" spans="1:14" ht="24" customHeight="1" x14ac:dyDescent="0.45">
      <c r="A53" s="3">
        <v>9</v>
      </c>
      <c r="B53" s="3" t="s">
        <v>2</v>
      </c>
      <c r="C53" s="3" t="s">
        <v>40</v>
      </c>
      <c r="D53" s="3" t="s">
        <v>189</v>
      </c>
      <c r="E53" s="15">
        <f>$M$115/1000*$M$116/$M$118</f>
        <v>1.3043478260869565E-2</v>
      </c>
      <c r="F53" s="3" t="s">
        <v>136</v>
      </c>
      <c r="G53" s="6">
        <f>IF(ISNUMBER($M$44),$M$44,NA())</f>
        <v>4.5714285714285712</v>
      </c>
      <c r="H53" s="6">
        <f t="shared" si="1"/>
        <v>5.9627329192546576E-2</v>
      </c>
      <c r="I53" s="3"/>
      <c r="J53" s="3"/>
      <c r="K53" s="3"/>
      <c r="L53" s="3" t="s">
        <v>152</v>
      </c>
      <c r="M53" s="16">
        <v>1</v>
      </c>
      <c r="N53" s="3" t="s">
        <v>153</v>
      </c>
    </row>
    <row r="54" spans="1:14" ht="48" customHeight="1" x14ac:dyDescent="0.45">
      <c r="A54" s="3">
        <v>9</v>
      </c>
      <c r="B54" s="3" t="s">
        <v>2</v>
      </c>
      <c r="C54" s="3" t="s">
        <v>40</v>
      </c>
      <c r="D54" s="3" t="s">
        <v>190</v>
      </c>
      <c r="E54" s="15">
        <f>$M$115/1000*$M$117/$M$118</f>
        <v>1.9565217391304345E-3</v>
      </c>
      <c r="F54" s="3" t="s">
        <v>136</v>
      </c>
      <c r="G54" s="6">
        <f>IF(ISNUMBER($M$45),$M$45,NA())</f>
        <v>8.7074829931972779</v>
      </c>
      <c r="H54" s="6">
        <f t="shared" si="1"/>
        <v>1.7036379769299021E-2</v>
      </c>
      <c r="I54" s="3"/>
      <c r="J54" s="3"/>
      <c r="K54" s="3"/>
      <c r="L54" s="66" t="s">
        <v>191</v>
      </c>
      <c r="M54" s="66"/>
      <c r="N54" s="66"/>
    </row>
    <row r="55" spans="1:14" ht="48" customHeight="1" x14ac:dyDescent="0.45">
      <c r="A55" s="3">
        <v>9</v>
      </c>
      <c r="B55" s="3" t="s">
        <v>2</v>
      </c>
      <c r="C55" s="3" t="s">
        <v>40</v>
      </c>
      <c r="D55" s="3" t="s">
        <v>156</v>
      </c>
      <c r="E55" s="15">
        <v>0</v>
      </c>
      <c r="F55" s="3" t="s">
        <v>136</v>
      </c>
      <c r="G55" s="6">
        <f>IF(ISNUMBER($M$16),$M$16,NA())</f>
        <v>14</v>
      </c>
      <c r="H55" s="6">
        <f t="shared" si="1"/>
        <v>0</v>
      </c>
      <c r="I55" s="3"/>
      <c r="J55" s="3"/>
      <c r="K55" s="3"/>
      <c r="L55" s="66"/>
      <c r="M55" s="66"/>
      <c r="N55" s="66"/>
    </row>
    <row r="56" spans="1:14" ht="48" customHeight="1" x14ac:dyDescent="0.45">
      <c r="A56" s="3">
        <v>9</v>
      </c>
      <c r="B56" s="3" t="s">
        <v>2</v>
      </c>
      <c r="C56" s="3" t="s">
        <v>40</v>
      </c>
      <c r="D56" s="3" t="s">
        <v>150</v>
      </c>
      <c r="E56" s="15">
        <v>0</v>
      </c>
      <c r="F56" s="3" t="s">
        <v>147</v>
      </c>
      <c r="G56" s="6">
        <f>IF(ISNUMBER($M$33),$M$33,NA())</f>
        <v>7</v>
      </c>
      <c r="H56" s="6">
        <f t="shared" si="1"/>
        <v>0</v>
      </c>
      <c r="I56" s="3"/>
      <c r="J56" s="3"/>
      <c r="K56" s="3"/>
      <c r="L56" s="66"/>
      <c r="M56" s="66"/>
      <c r="N56" s="66"/>
    </row>
    <row r="57" spans="1:14" ht="48" customHeight="1" x14ac:dyDescent="0.45">
      <c r="A57" s="3">
        <v>9</v>
      </c>
      <c r="B57" s="3" t="s">
        <v>2</v>
      </c>
      <c r="C57" s="3" t="s">
        <v>40</v>
      </c>
      <c r="D57" s="3" t="s">
        <v>179</v>
      </c>
      <c r="E57" s="15">
        <v>0</v>
      </c>
      <c r="F57" s="3" t="s">
        <v>136</v>
      </c>
      <c r="G57" s="6">
        <f>IF(ISNUMBER($M$43),$M$43,NA())</f>
        <v>3.5</v>
      </c>
      <c r="H57" s="6">
        <f t="shared" si="1"/>
        <v>0</v>
      </c>
      <c r="I57" s="3"/>
      <c r="J57" s="3"/>
      <c r="K57" s="3"/>
      <c r="L57" s="66"/>
      <c r="M57" s="66"/>
      <c r="N57" s="66"/>
    </row>
    <row r="58" spans="1:14" ht="48" customHeight="1" x14ac:dyDescent="0.45">
      <c r="A58" s="3">
        <v>10</v>
      </c>
      <c r="B58" s="3" t="s">
        <v>2</v>
      </c>
      <c r="C58" s="3" t="s">
        <v>5</v>
      </c>
      <c r="D58" s="3" t="s">
        <v>165</v>
      </c>
      <c r="E58" s="15">
        <v>0.05</v>
      </c>
      <c r="F58" s="3" t="s">
        <v>136</v>
      </c>
      <c r="G58" s="6">
        <f>IF(ISNUMBER($M$26),$M$26,NA())</f>
        <v>9</v>
      </c>
      <c r="H58" s="6">
        <f t="shared" si="1"/>
        <v>0.45</v>
      </c>
      <c r="I58" s="3"/>
      <c r="J58" s="3"/>
      <c r="K58" s="3"/>
      <c r="L58" s="66"/>
      <c r="M58" s="66"/>
      <c r="N58" s="66"/>
    </row>
    <row r="59" spans="1:14" ht="48" customHeight="1" x14ac:dyDescent="0.45">
      <c r="A59" s="3">
        <v>10</v>
      </c>
      <c r="B59" s="3" t="s">
        <v>2</v>
      </c>
      <c r="C59" s="3" t="s">
        <v>5</v>
      </c>
      <c r="D59" s="3" t="s">
        <v>167</v>
      </c>
      <c r="E59" s="15">
        <v>0.04</v>
      </c>
      <c r="F59" s="3" t="s">
        <v>136</v>
      </c>
      <c r="G59" s="6">
        <f>IF(ISNUMBER($M$27),$M$27,NA())</f>
        <v>5</v>
      </c>
      <c r="H59" s="6">
        <f t="shared" si="1"/>
        <v>0.2</v>
      </c>
      <c r="I59" s="3"/>
      <c r="J59" s="3"/>
      <c r="K59" s="3"/>
      <c r="L59" s="66"/>
      <c r="M59" s="66"/>
      <c r="N59" s="66"/>
    </row>
    <row r="60" spans="1:14" ht="24" customHeight="1" x14ac:dyDescent="0.45">
      <c r="A60" s="3">
        <v>10</v>
      </c>
      <c r="B60" s="3" t="s">
        <v>2</v>
      </c>
      <c r="C60" s="3" t="s">
        <v>5</v>
      </c>
      <c r="D60" s="3" t="s">
        <v>143</v>
      </c>
      <c r="E60" s="15">
        <v>1.4999999999999999E-2</v>
      </c>
      <c r="F60" s="3" t="s">
        <v>136</v>
      </c>
      <c r="G60" s="6">
        <f>IF(ISNUMBER($M$22),$M$22,NA())</f>
        <v>3</v>
      </c>
      <c r="H60" s="6">
        <f t="shared" si="1"/>
        <v>4.4999999999999998E-2</v>
      </c>
      <c r="I60" s="3"/>
      <c r="J60" s="3"/>
      <c r="K60" s="3"/>
      <c r="L60" s="3"/>
      <c r="M60" s="3"/>
      <c r="N60" s="3"/>
    </row>
    <row r="61" spans="1:14" ht="24" customHeight="1" x14ac:dyDescent="0.45">
      <c r="A61" s="3">
        <v>10</v>
      </c>
      <c r="B61" s="3" t="s">
        <v>2</v>
      </c>
      <c r="C61" s="3" t="s">
        <v>5</v>
      </c>
      <c r="D61" s="3" t="s">
        <v>145</v>
      </c>
      <c r="E61" s="15">
        <v>0.01</v>
      </c>
      <c r="F61" s="3" t="s">
        <v>136</v>
      </c>
      <c r="G61" s="6">
        <f>IF(ISNUMBER($M$23),$M$23,NA())</f>
        <v>8</v>
      </c>
      <c r="H61" s="6">
        <f t="shared" si="1"/>
        <v>0.08</v>
      </c>
      <c r="I61" s="3"/>
      <c r="J61" s="3"/>
      <c r="K61" s="3"/>
      <c r="L61" s="66" t="s">
        <v>192</v>
      </c>
      <c r="M61" s="66"/>
      <c r="N61" s="66"/>
    </row>
    <row r="62" spans="1:14" ht="24" customHeight="1" x14ac:dyDescent="0.45">
      <c r="A62" s="3">
        <v>10</v>
      </c>
      <c r="B62" s="3" t="s">
        <v>2</v>
      </c>
      <c r="C62" s="3" t="s">
        <v>5</v>
      </c>
      <c r="D62" s="3" t="s">
        <v>148</v>
      </c>
      <c r="E62" s="15">
        <v>5.0000000000000001E-3</v>
      </c>
      <c r="F62" s="3" t="s">
        <v>136</v>
      </c>
      <c r="G62" s="6">
        <f>IF(ISNUMBER($M$24),$M$24,NA())</f>
        <v>5</v>
      </c>
      <c r="H62" s="6">
        <f t="shared" si="1"/>
        <v>2.5000000000000001E-2</v>
      </c>
      <c r="I62" s="3"/>
      <c r="J62" s="3"/>
      <c r="K62" s="3"/>
      <c r="L62" s="66"/>
      <c r="M62" s="66"/>
      <c r="N62" s="66"/>
    </row>
    <row r="63" spans="1:14" ht="24" customHeight="1" x14ac:dyDescent="0.45">
      <c r="A63" s="3">
        <v>10</v>
      </c>
      <c r="B63" s="3" t="s">
        <v>2</v>
      </c>
      <c r="C63" s="3" t="s">
        <v>5</v>
      </c>
      <c r="D63" s="3" t="s">
        <v>154</v>
      </c>
      <c r="E63" s="15">
        <v>1.4999999999999999E-2</v>
      </c>
      <c r="F63" s="3" t="s">
        <v>147</v>
      </c>
      <c r="G63" s="6">
        <f>IF(ISNUMBER($M$15),$M$15,NA())</f>
        <v>13</v>
      </c>
      <c r="H63" s="6">
        <f t="shared" si="1"/>
        <v>0.19500000000000001</v>
      </c>
      <c r="I63" s="3"/>
      <c r="J63" s="3"/>
      <c r="K63" s="3"/>
      <c r="L63" s="66"/>
      <c r="M63" s="66"/>
      <c r="N63" s="66"/>
    </row>
    <row r="64" spans="1:14" ht="24" customHeight="1" x14ac:dyDescent="0.45">
      <c r="A64" s="3">
        <v>10</v>
      </c>
      <c r="B64" s="3" t="s">
        <v>2</v>
      </c>
      <c r="C64" s="3" t="s">
        <v>5</v>
      </c>
      <c r="D64" s="3" t="s">
        <v>150</v>
      </c>
      <c r="E64" s="15">
        <v>3.0000000000000001E-3</v>
      </c>
      <c r="F64" s="3" t="s">
        <v>147</v>
      </c>
      <c r="G64" s="6">
        <f>IF(ISNUMBER($M$33),$M$33,NA())</f>
        <v>7</v>
      </c>
      <c r="H64" s="6">
        <f t="shared" si="1"/>
        <v>2.1000000000000001E-2</v>
      </c>
      <c r="I64" s="3"/>
      <c r="J64" s="3"/>
      <c r="K64" s="3"/>
      <c r="L64" s="66"/>
      <c r="M64" s="66"/>
      <c r="N64" s="66"/>
    </row>
    <row r="65" spans="1:14" ht="24" customHeight="1" x14ac:dyDescent="0.45">
      <c r="A65" s="3">
        <v>10</v>
      </c>
      <c r="B65" s="3" t="s">
        <v>2</v>
      </c>
      <c r="C65" s="3" t="s">
        <v>5</v>
      </c>
      <c r="D65" s="3" t="s">
        <v>152</v>
      </c>
      <c r="E65" s="15">
        <v>0.08</v>
      </c>
      <c r="F65" s="3" t="s">
        <v>153</v>
      </c>
      <c r="G65" s="6">
        <f>IF(ISNUMBER($M$53),$M$53,NA())</f>
        <v>1</v>
      </c>
      <c r="H65" s="6">
        <f t="shared" si="1"/>
        <v>0.08</v>
      </c>
      <c r="I65" s="3"/>
      <c r="J65" s="3"/>
      <c r="K65" s="3"/>
      <c r="L65" s="3"/>
      <c r="M65" s="3"/>
      <c r="N65" s="3"/>
    </row>
    <row r="66" spans="1:14" ht="24" customHeight="1" x14ac:dyDescent="0.45">
      <c r="A66" s="3">
        <v>11</v>
      </c>
      <c r="B66" s="3" t="s">
        <v>2</v>
      </c>
      <c r="C66" s="3" t="s">
        <v>41</v>
      </c>
      <c r="D66" s="3" t="s">
        <v>193</v>
      </c>
      <c r="E66" s="15">
        <f>$M$124</f>
        <v>0.14285714285714285</v>
      </c>
      <c r="F66" s="3" t="s">
        <v>136</v>
      </c>
      <c r="G66" s="6">
        <f>IF(ISNUMBER($M$39),$M$39,NA())</f>
        <v>9</v>
      </c>
      <c r="H66" s="6">
        <f t="shared" si="1"/>
        <v>1.2857142857142856</v>
      </c>
      <c r="I66" s="3"/>
      <c r="J66" s="3"/>
      <c r="K66" s="3"/>
      <c r="L66" s="66" t="s">
        <v>194</v>
      </c>
      <c r="M66" s="66"/>
      <c r="N66" s="66"/>
    </row>
    <row r="67" spans="1:14" ht="24" customHeight="1" x14ac:dyDescent="0.45">
      <c r="A67" s="3">
        <v>11</v>
      </c>
      <c r="B67" s="3" t="s">
        <v>2</v>
      </c>
      <c r="C67" s="3" t="s">
        <v>41</v>
      </c>
      <c r="D67" s="3" t="s">
        <v>141</v>
      </c>
      <c r="E67" s="15">
        <v>0.12</v>
      </c>
      <c r="F67" s="3" t="s">
        <v>136</v>
      </c>
      <c r="G67" s="6">
        <f>IF(ISNUMBER($M$21),$M$21,NA())</f>
        <v>4.3809523809523805</v>
      </c>
      <c r="H67" s="6">
        <f t="shared" si="1"/>
        <v>0.52571428571428569</v>
      </c>
      <c r="I67" s="3"/>
      <c r="J67" s="3"/>
      <c r="K67" s="3"/>
      <c r="L67" s="4"/>
      <c r="M67" s="4"/>
      <c r="N67" s="4"/>
    </row>
    <row r="68" spans="1:14" ht="24" customHeight="1" x14ac:dyDescent="0.45">
      <c r="A68" s="3">
        <v>11</v>
      </c>
      <c r="B68" s="3" t="s">
        <v>2</v>
      </c>
      <c r="C68" s="3" t="s">
        <v>41</v>
      </c>
      <c r="D68" s="3" t="s">
        <v>143</v>
      </c>
      <c r="E68" s="15">
        <v>4.3999999999999997E-2</v>
      </c>
      <c r="F68" s="3" t="s">
        <v>136</v>
      </c>
      <c r="G68" s="6">
        <f>IF(ISNUMBER($M$22),$M$22,NA())</f>
        <v>3</v>
      </c>
      <c r="H68" s="6">
        <f t="shared" si="1"/>
        <v>0.13200000000000001</v>
      </c>
      <c r="I68" s="3"/>
      <c r="J68" s="3"/>
      <c r="K68" s="3"/>
      <c r="L68" s="4"/>
      <c r="M68" s="4"/>
      <c r="N68" s="4"/>
    </row>
    <row r="69" spans="1:14" ht="24" customHeight="1" x14ac:dyDescent="0.45">
      <c r="A69" s="3">
        <v>11</v>
      </c>
      <c r="B69" s="3" t="s">
        <v>2</v>
      </c>
      <c r="C69" s="3" t="s">
        <v>41</v>
      </c>
      <c r="D69" s="3" t="s">
        <v>150</v>
      </c>
      <c r="E69" s="15">
        <v>5.0000000000000001E-3</v>
      </c>
      <c r="F69" s="3" t="s">
        <v>147</v>
      </c>
      <c r="G69" s="6">
        <f>IF(ISNUMBER($M$33),$M$33,NA())</f>
        <v>7</v>
      </c>
      <c r="H69" s="6">
        <f t="shared" si="1"/>
        <v>3.5000000000000003E-2</v>
      </c>
      <c r="I69" s="3"/>
      <c r="J69" s="3"/>
      <c r="K69" s="3"/>
      <c r="L69" s="3"/>
      <c r="M69" s="3"/>
      <c r="N69" s="3"/>
    </row>
    <row r="70" spans="1:14" ht="32" customHeight="1" x14ac:dyDescent="0.45">
      <c r="A70" s="3">
        <v>11</v>
      </c>
      <c r="B70" s="3" t="s">
        <v>2</v>
      </c>
      <c r="C70" s="3" t="s">
        <v>41</v>
      </c>
      <c r="D70" s="3" t="s">
        <v>152</v>
      </c>
      <c r="E70" s="15">
        <v>0.08</v>
      </c>
      <c r="F70" s="3" t="s">
        <v>153</v>
      </c>
      <c r="G70" s="6">
        <f>IF(ISNUMBER($M$53),$M$53,NA())</f>
        <v>1</v>
      </c>
      <c r="H70" s="6">
        <f t="shared" si="1"/>
        <v>0.08</v>
      </c>
      <c r="I70" s="3"/>
      <c r="J70" s="3"/>
      <c r="K70" s="3"/>
      <c r="L70" s="26" t="s">
        <v>195</v>
      </c>
      <c r="M70" s="26" t="s">
        <v>196</v>
      </c>
      <c r="N70" s="26" t="s">
        <v>129</v>
      </c>
    </row>
    <row r="71" spans="1:14" ht="32" customHeight="1" x14ac:dyDescent="0.45">
      <c r="A71" s="3">
        <v>12</v>
      </c>
      <c r="B71" s="3" t="s">
        <v>2</v>
      </c>
      <c r="C71" s="3" t="s">
        <v>6</v>
      </c>
      <c r="D71" s="3" t="s">
        <v>197</v>
      </c>
      <c r="E71" s="15">
        <f>$M$103/1000</f>
        <v>0.12</v>
      </c>
      <c r="F71" s="3" t="s">
        <v>136</v>
      </c>
      <c r="G71" s="6">
        <f>IF(ISNUMBER($M$98),$M$98,NA())</f>
        <v>14.222222222222221</v>
      </c>
      <c r="H71" s="6">
        <f t="shared" si="1"/>
        <v>1.7066666666666666</v>
      </c>
      <c r="I71" s="3"/>
      <c r="J71" s="3"/>
      <c r="K71" s="3"/>
      <c r="L71" s="4" t="s">
        <v>198</v>
      </c>
      <c r="M71" s="9">
        <v>7.91</v>
      </c>
      <c r="N71" s="4" t="s">
        <v>199</v>
      </c>
    </row>
    <row r="72" spans="1:14" ht="32" customHeight="1" x14ac:dyDescent="0.45">
      <c r="A72" s="3">
        <v>12</v>
      </c>
      <c r="B72" s="3" t="s">
        <v>2</v>
      </c>
      <c r="C72" s="3" t="s">
        <v>6</v>
      </c>
      <c r="D72" s="3" t="s">
        <v>137</v>
      </c>
      <c r="E72" s="15">
        <v>0</v>
      </c>
      <c r="F72" s="3" t="s">
        <v>136</v>
      </c>
      <c r="G72" s="6">
        <f>IF(ISNUMBER($M$7),$M$7,NA())</f>
        <v>23.80952380952381</v>
      </c>
      <c r="H72" s="6">
        <f t="shared" si="1"/>
        <v>0</v>
      </c>
      <c r="I72" s="3"/>
      <c r="J72" s="3"/>
      <c r="K72" s="3"/>
      <c r="L72" s="4" t="s">
        <v>200</v>
      </c>
      <c r="M72" s="4">
        <v>820</v>
      </c>
      <c r="N72" s="4" t="s">
        <v>201</v>
      </c>
    </row>
    <row r="73" spans="1:14" ht="32" customHeight="1" x14ac:dyDescent="0.45">
      <c r="A73" s="3">
        <v>12</v>
      </c>
      <c r="B73" s="3" t="s">
        <v>2</v>
      </c>
      <c r="C73" s="3" t="s">
        <v>6</v>
      </c>
      <c r="D73" s="3" t="s">
        <v>185</v>
      </c>
      <c r="E73" s="15">
        <v>0</v>
      </c>
      <c r="F73" s="3" t="s">
        <v>136</v>
      </c>
      <c r="G73" s="6">
        <f>IF(ISNUMBER($M$49),$M$49,NA())</f>
        <v>9</v>
      </c>
      <c r="H73" s="6">
        <f t="shared" si="1"/>
        <v>0</v>
      </c>
      <c r="I73" s="3"/>
      <c r="J73" s="3"/>
      <c r="K73" s="3"/>
      <c r="L73" s="4" t="s">
        <v>202</v>
      </c>
      <c r="M73" s="44">
        <v>470</v>
      </c>
      <c r="N73" s="4" t="s">
        <v>203</v>
      </c>
    </row>
    <row r="74" spans="1:14" ht="24" customHeight="1" x14ac:dyDescent="0.45">
      <c r="A74" s="3">
        <v>12</v>
      </c>
      <c r="B74" s="3" t="s">
        <v>2</v>
      </c>
      <c r="C74" s="3" t="s">
        <v>6</v>
      </c>
      <c r="D74" s="3" t="s">
        <v>135</v>
      </c>
      <c r="E74" s="15">
        <v>0</v>
      </c>
      <c r="F74" s="3" t="s">
        <v>136</v>
      </c>
      <c r="G74" s="6">
        <f>IF(ISNUMBER($M$6),$M$6,NA())</f>
        <v>14.285714285714285</v>
      </c>
      <c r="H74" s="6">
        <f t="shared" si="1"/>
        <v>0</v>
      </c>
      <c r="I74" s="3"/>
      <c r="J74" s="3"/>
      <c r="K74" s="3"/>
      <c r="L74" s="3"/>
      <c r="M74" s="3"/>
      <c r="N74" s="3"/>
    </row>
    <row r="75" spans="1:14" ht="24" customHeight="1" x14ac:dyDescent="0.45">
      <c r="A75" s="3">
        <v>13</v>
      </c>
      <c r="B75" s="3" t="s">
        <v>3</v>
      </c>
      <c r="C75" s="3" t="s">
        <v>40</v>
      </c>
      <c r="D75" s="3" t="s">
        <v>146</v>
      </c>
      <c r="E75" s="15">
        <v>0.2</v>
      </c>
      <c r="F75" s="3" t="s">
        <v>147</v>
      </c>
      <c r="G75" s="6">
        <f>IF(ISNUMBER($M$12),$M$12,NA())</f>
        <v>2.2857142857142856</v>
      </c>
      <c r="H75" s="6">
        <f t="shared" si="1"/>
        <v>0.45714285714285713</v>
      </c>
      <c r="I75" s="3"/>
      <c r="J75" s="3"/>
      <c r="K75" s="3"/>
      <c r="L75" s="3"/>
      <c r="M75" s="3"/>
      <c r="N75" s="3"/>
    </row>
    <row r="76" spans="1:14" ht="34.049999999999997" customHeight="1" x14ac:dyDescent="0.45">
      <c r="A76" s="3">
        <v>13</v>
      </c>
      <c r="B76" s="3" t="s">
        <v>3</v>
      </c>
      <c r="C76" s="3" t="s">
        <v>40</v>
      </c>
      <c r="D76" s="3" t="s">
        <v>158</v>
      </c>
      <c r="E76" s="15">
        <v>0.03</v>
      </c>
      <c r="F76" s="3" t="s">
        <v>136</v>
      </c>
      <c r="G76" s="6">
        <f>IF(ISNUMBER($M$17),$M$17,NA())</f>
        <v>12</v>
      </c>
      <c r="H76" s="6">
        <f t="shared" si="1"/>
        <v>0.36</v>
      </c>
      <c r="I76" s="3"/>
      <c r="J76" s="3"/>
      <c r="K76" s="3"/>
      <c r="L76" s="70" t="s">
        <v>204</v>
      </c>
      <c r="M76" s="70"/>
      <c r="N76" s="70"/>
    </row>
    <row r="77" spans="1:14" ht="32" customHeight="1" x14ac:dyDescent="0.45">
      <c r="A77" s="3">
        <v>13</v>
      </c>
      <c r="B77" s="3" t="s">
        <v>3</v>
      </c>
      <c r="C77" s="3" t="s">
        <v>40</v>
      </c>
      <c r="D77" s="3" t="s">
        <v>159</v>
      </c>
      <c r="E77" s="15">
        <v>1</v>
      </c>
      <c r="F77" s="3" t="s">
        <v>134</v>
      </c>
      <c r="G77" s="6">
        <f>IF(ISNUMBER($M$18),$M$18,NA())</f>
        <v>0.38095238095238093</v>
      </c>
      <c r="H77" s="6">
        <f t="shared" si="1"/>
        <v>0.38095238095238093</v>
      </c>
      <c r="I77" s="3"/>
      <c r="J77" s="3"/>
      <c r="K77" s="3"/>
      <c r="L77" s="4" t="s">
        <v>127</v>
      </c>
      <c r="M77" s="4" t="s">
        <v>205</v>
      </c>
      <c r="N77" s="4" t="s">
        <v>129</v>
      </c>
    </row>
    <row r="78" spans="1:14" ht="32" customHeight="1" x14ac:dyDescent="0.45">
      <c r="A78" s="3">
        <v>13</v>
      </c>
      <c r="B78" s="3" t="s">
        <v>3</v>
      </c>
      <c r="C78" s="3" t="s">
        <v>40</v>
      </c>
      <c r="D78" s="3" t="s">
        <v>135</v>
      </c>
      <c r="E78" s="15">
        <v>5.0000000000000001E-3</v>
      </c>
      <c r="F78" s="3" t="s">
        <v>136</v>
      </c>
      <c r="G78" s="6">
        <f>IF(ISNUMBER($M$6),$M$6,NA())</f>
        <v>14.285714285714285</v>
      </c>
      <c r="H78" s="6">
        <f t="shared" si="1"/>
        <v>7.1428571428571425E-2</v>
      </c>
      <c r="I78" s="3"/>
      <c r="J78" s="3"/>
      <c r="K78" s="3"/>
      <c r="L78" s="4" t="s">
        <v>206</v>
      </c>
      <c r="M78" s="30">
        <f>E38*1000*10</f>
        <v>400</v>
      </c>
      <c r="N78" s="4" t="s">
        <v>201</v>
      </c>
    </row>
    <row r="79" spans="1:14" ht="32" customHeight="1" x14ac:dyDescent="0.45">
      <c r="A79" s="3">
        <v>14</v>
      </c>
      <c r="B79" s="3" t="s">
        <v>3</v>
      </c>
      <c r="C79" s="3" t="s">
        <v>5</v>
      </c>
      <c r="D79" s="3" t="s">
        <v>207</v>
      </c>
      <c r="E79" s="15">
        <f>$M$133</f>
        <v>7.4999999999999997E-2</v>
      </c>
      <c r="F79" s="3" t="s">
        <v>136</v>
      </c>
      <c r="G79" s="6">
        <f>$M$134</f>
        <v>7.6190476190476186</v>
      </c>
      <c r="H79" s="6">
        <f t="shared" si="1"/>
        <v>0.5714285714285714</v>
      </c>
      <c r="I79" s="3"/>
      <c r="J79" s="3"/>
      <c r="K79" s="3"/>
      <c r="L79" s="4" t="s">
        <v>208</v>
      </c>
      <c r="M79" s="30">
        <f>E43*1000*10</f>
        <v>200</v>
      </c>
      <c r="N79" s="4" t="s">
        <v>201</v>
      </c>
    </row>
    <row r="80" spans="1:14" ht="32" customHeight="1" x14ac:dyDescent="0.45">
      <c r="A80" s="3">
        <v>14</v>
      </c>
      <c r="B80" s="3" t="s">
        <v>3</v>
      </c>
      <c r="C80" s="3" t="s">
        <v>5</v>
      </c>
      <c r="D80" s="3" t="s">
        <v>209</v>
      </c>
      <c r="E80" s="15">
        <f>$M$141</f>
        <v>5.2499999999999998E-2</v>
      </c>
      <c r="F80" s="3" t="s">
        <v>210</v>
      </c>
      <c r="G80" s="6">
        <f>$M$140</f>
        <v>3.8095238095238093</v>
      </c>
      <c r="H80" s="6">
        <f>E80*G80</f>
        <v>0.19999999999999998</v>
      </c>
      <c r="I80" s="3"/>
      <c r="J80" s="3"/>
      <c r="K80" s="3"/>
      <c r="L80" s="4" t="s">
        <v>211</v>
      </c>
      <c r="M80" s="30">
        <f>E40*1000*10</f>
        <v>100</v>
      </c>
      <c r="N80" s="4" t="s">
        <v>201</v>
      </c>
    </row>
    <row r="81" spans="1:14" ht="32" customHeight="1" x14ac:dyDescent="0.45">
      <c r="A81" s="3">
        <v>14</v>
      </c>
      <c r="B81" s="3" t="s">
        <v>3</v>
      </c>
      <c r="C81" s="3" t="s">
        <v>5</v>
      </c>
      <c r="D81" s="3" t="s">
        <v>212</v>
      </c>
      <c r="E81" s="15">
        <f>$M$145</f>
        <v>2.2499999999999999E-2</v>
      </c>
      <c r="F81" s="3" t="s">
        <v>147</v>
      </c>
      <c r="G81" s="6">
        <f>$M$143</f>
        <v>8.5714285714285712</v>
      </c>
      <c r="H81" s="6">
        <f>E81*G81</f>
        <v>0.19285714285714284</v>
      </c>
      <c r="I81" s="3"/>
      <c r="J81" s="3"/>
      <c r="K81" s="3"/>
      <c r="L81" s="4" t="s">
        <v>213</v>
      </c>
      <c r="M81" s="30">
        <f>E39*1000*10</f>
        <v>50</v>
      </c>
      <c r="N81" s="4" t="s">
        <v>214</v>
      </c>
    </row>
    <row r="82" spans="1:14" ht="32" customHeight="1" x14ac:dyDescent="0.45">
      <c r="A82" s="3">
        <v>14</v>
      </c>
      <c r="B82" s="3" t="s">
        <v>3</v>
      </c>
      <c r="C82" s="3" t="s">
        <v>5</v>
      </c>
      <c r="D82" s="3" t="s">
        <v>141</v>
      </c>
      <c r="E82" s="15">
        <v>0.08</v>
      </c>
      <c r="F82" s="3" t="s">
        <v>136</v>
      </c>
      <c r="G82" s="6">
        <f>IF(ISNUMBER($M$21),$M$21,NA())</f>
        <v>4.3809523809523805</v>
      </c>
      <c r="H82" s="6">
        <f t="shared" ref="H82:H122" si="2">IF(ISNUMBER(E82),E82*G82,NA())</f>
        <v>0.35047619047619044</v>
      </c>
      <c r="I82" s="3"/>
      <c r="J82" s="3"/>
      <c r="K82" s="3"/>
      <c r="L82" s="4" t="s">
        <v>215</v>
      </c>
      <c r="M82" s="30">
        <f>E42*1000*10</f>
        <v>20</v>
      </c>
      <c r="N82" s="4" t="s">
        <v>216</v>
      </c>
    </row>
    <row r="83" spans="1:14" ht="32" customHeight="1" x14ac:dyDescent="0.45">
      <c r="A83" s="3">
        <v>14</v>
      </c>
      <c r="B83" s="3" t="s">
        <v>3</v>
      </c>
      <c r="C83" s="3" t="s">
        <v>5</v>
      </c>
      <c r="D83" s="3" t="s">
        <v>143</v>
      </c>
      <c r="E83" s="15">
        <v>0</v>
      </c>
      <c r="F83" s="3" t="s">
        <v>136</v>
      </c>
      <c r="G83" s="6">
        <f>IF(ISNUMBER($M$22),$M$22,NA())</f>
        <v>3</v>
      </c>
      <c r="H83" s="6">
        <f t="shared" si="2"/>
        <v>0</v>
      </c>
      <c r="I83" s="3"/>
      <c r="J83" s="3"/>
      <c r="K83" s="3"/>
      <c r="L83" s="4" t="s">
        <v>217</v>
      </c>
      <c r="M83" s="30"/>
      <c r="N83" s="4" t="s">
        <v>218</v>
      </c>
    </row>
    <row r="84" spans="1:14" ht="32" customHeight="1" x14ac:dyDescent="0.45">
      <c r="A84" s="3">
        <v>14</v>
      </c>
      <c r="B84" s="3" t="s">
        <v>3</v>
      </c>
      <c r="C84" s="3" t="s">
        <v>5</v>
      </c>
      <c r="D84" s="3" t="s">
        <v>145</v>
      </c>
      <c r="E84" s="15">
        <v>0</v>
      </c>
      <c r="F84" s="3" t="s">
        <v>136</v>
      </c>
      <c r="G84" s="6">
        <f>IF(ISNUMBER($M$23),$M$23,NA())</f>
        <v>8</v>
      </c>
      <c r="H84" s="6">
        <f t="shared" si="2"/>
        <v>0</v>
      </c>
      <c r="I84" s="3"/>
      <c r="J84" s="3"/>
      <c r="K84" s="3"/>
      <c r="L84" s="4" t="s">
        <v>219</v>
      </c>
      <c r="M84" s="30">
        <v>800</v>
      </c>
      <c r="N84" s="4" t="s">
        <v>220</v>
      </c>
    </row>
    <row r="85" spans="1:14" ht="32" customHeight="1" x14ac:dyDescent="0.45">
      <c r="A85" s="3">
        <v>14</v>
      </c>
      <c r="B85" s="3" t="s">
        <v>3</v>
      </c>
      <c r="C85" s="3" t="s">
        <v>5</v>
      </c>
      <c r="D85" s="3" t="s">
        <v>148</v>
      </c>
      <c r="E85" s="15">
        <v>0</v>
      </c>
      <c r="F85" s="3" t="s">
        <v>136</v>
      </c>
      <c r="G85" s="6">
        <f>IF(ISNUMBER($M$24),$M$24,NA())</f>
        <v>5</v>
      </c>
      <c r="H85" s="6">
        <f t="shared" si="2"/>
        <v>0</v>
      </c>
      <c r="I85" s="3"/>
      <c r="J85" s="3"/>
      <c r="K85" s="3"/>
      <c r="L85" s="4" t="s">
        <v>221</v>
      </c>
      <c r="M85" s="30">
        <v>80</v>
      </c>
      <c r="N85" s="4" t="s">
        <v>222</v>
      </c>
    </row>
    <row r="86" spans="1:14" ht="24" customHeight="1" x14ac:dyDescent="0.45">
      <c r="A86" s="3">
        <v>14</v>
      </c>
      <c r="B86" s="3" t="s">
        <v>3</v>
      </c>
      <c r="C86" s="3" t="s">
        <v>5</v>
      </c>
      <c r="D86" s="3" t="s">
        <v>171</v>
      </c>
      <c r="E86" s="15">
        <v>0</v>
      </c>
      <c r="F86" s="3" t="s">
        <v>136</v>
      </c>
      <c r="G86" s="6">
        <f>IF(ISNUMBER($M$31),$M$31,NA())</f>
        <v>12</v>
      </c>
      <c r="H86" s="6">
        <f t="shared" si="2"/>
        <v>0</v>
      </c>
      <c r="I86" s="3"/>
      <c r="J86" s="3"/>
      <c r="K86" s="3"/>
      <c r="L86" s="3"/>
      <c r="M86" s="3"/>
      <c r="N86" s="3"/>
    </row>
    <row r="87" spans="1:14" ht="40.049999999999997" customHeight="1" x14ac:dyDescent="0.45">
      <c r="A87" s="3">
        <v>14</v>
      </c>
      <c r="B87" s="3" t="s">
        <v>3</v>
      </c>
      <c r="C87" s="3" t="s">
        <v>5</v>
      </c>
      <c r="D87" s="3" t="s">
        <v>150</v>
      </c>
      <c r="E87" s="15">
        <v>3.0000000000000001E-3</v>
      </c>
      <c r="F87" s="3" t="s">
        <v>147</v>
      </c>
      <c r="G87" s="6">
        <f>IF(ISNUMBER($M$33),$M$33,NA())</f>
        <v>7</v>
      </c>
      <c r="H87" s="6">
        <f t="shared" si="2"/>
        <v>2.1000000000000001E-2</v>
      </c>
      <c r="I87" s="3"/>
      <c r="J87" s="3"/>
      <c r="K87" s="3"/>
      <c r="L87" s="66" t="s">
        <v>223</v>
      </c>
      <c r="M87" s="66"/>
      <c r="N87" s="66"/>
    </row>
    <row r="88" spans="1:14" ht="40.049999999999997" customHeight="1" x14ac:dyDescent="0.45">
      <c r="A88" s="3">
        <v>14</v>
      </c>
      <c r="B88" s="3" t="s">
        <v>3</v>
      </c>
      <c r="C88" s="3" t="s">
        <v>5</v>
      </c>
      <c r="D88" s="3" t="s">
        <v>152</v>
      </c>
      <c r="E88" s="15">
        <v>0.08</v>
      </c>
      <c r="F88" s="3" t="s">
        <v>153</v>
      </c>
      <c r="G88" s="6">
        <f>IF(ISNUMBER($M$53),$M$53,NA())</f>
        <v>1</v>
      </c>
      <c r="H88" s="6">
        <f t="shared" si="2"/>
        <v>0.08</v>
      </c>
      <c r="I88" s="3"/>
      <c r="J88" s="3"/>
      <c r="K88" s="3"/>
      <c r="L88" s="66"/>
      <c r="M88" s="66"/>
      <c r="N88" s="66"/>
    </row>
    <row r="89" spans="1:14" ht="40.049999999999997" customHeight="1" x14ac:dyDescent="0.45">
      <c r="A89" s="3">
        <v>15</v>
      </c>
      <c r="B89" s="3" t="s">
        <v>3</v>
      </c>
      <c r="C89" s="3" t="s">
        <v>41</v>
      </c>
      <c r="D89" s="3" t="s">
        <v>176</v>
      </c>
      <c r="E89" s="15">
        <v>0.08</v>
      </c>
      <c r="F89" s="3" t="s">
        <v>136</v>
      </c>
      <c r="G89" s="6">
        <f>IF(ISNUMBER($M$40),$M$40,NA())</f>
        <v>28</v>
      </c>
      <c r="H89" s="6">
        <f t="shared" si="2"/>
        <v>2.2400000000000002</v>
      </c>
      <c r="I89" s="3"/>
      <c r="J89" s="3"/>
      <c r="K89" s="3"/>
      <c r="L89" s="66"/>
      <c r="M89" s="66"/>
      <c r="N89" s="66"/>
    </row>
    <row r="90" spans="1:14" ht="24" customHeight="1" x14ac:dyDescent="0.45">
      <c r="A90" s="3">
        <v>15</v>
      </c>
      <c r="B90" s="3" t="s">
        <v>3</v>
      </c>
      <c r="C90" s="3" t="s">
        <v>41</v>
      </c>
      <c r="D90" s="3" t="s">
        <v>141</v>
      </c>
      <c r="E90" s="15">
        <v>0.12</v>
      </c>
      <c r="F90" s="3" t="s">
        <v>136</v>
      </c>
      <c r="G90" s="6">
        <f>IF(ISNUMBER($M$21),$M$21,NA())</f>
        <v>4.3809523809523805</v>
      </c>
      <c r="H90" s="6">
        <f t="shared" si="2"/>
        <v>0.52571428571428569</v>
      </c>
      <c r="I90" s="3"/>
      <c r="J90" s="3"/>
      <c r="K90" s="3"/>
      <c r="L90" s="3"/>
      <c r="M90" s="3"/>
      <c r="N90" s="3"/>
    </row>
    <row r="91" spans="1:14" ht="24" customHeight="1" x14ac:dyDescent="0.45">
      <c r="A91" s="3">
        <v>15</v>
      </c>
      <c r="B91" s="3" t="s">
        <v>3</v>
      </c>
      <c r="C91" s="3" t="s">
        <v>41</v>
      </c>
      <c r="D91" s="3" t="s">
        <v>224</v>
      </c>
      <c r="E91" s="15">
        <v>0.04</v>
      </c>
      <c r="F91" s="3" t="s">
        <v>136</v>
      </c>
      <c r="G91" s="6">
        <f>$M$149</f>
        <v>8</v>
      </c>
      <c r="H91" s="6">
        <f t="shared" si="2"/>
        <v>0.32</v>
      </c>
      <c r="I91" s="3"/>
      <c r="J91" s="3"/>
      <c r="K91" s="3"/>
      <c r="L91" s="3"/>
      <c r="M91" s="3"/>
      <c r="N91" s="3"/>
    </row>
    <row r="92" spans="1:14" ht="32" customHeight="1" x14ac:dyDescent="0.45">
      <c r="A92" s="3">
        <v>15</v>
      </c>
      <c r="B92" s="3" t="s">
        <v>3</v>
      </c>
      <c r="C92" s="3" t="s">
        <v>41</v>
      </c>
      <c r="D92" s="3" t="s">
        <v>143</v>
      </c>
      <c r="E92" s="15">
        <v>0</v>
      </c>
      <c r="F92" s="3" t="s">
        <v>136</v>
      </c>
      <c r="G92" s="6">
        <f>IF(ISNUMBER($M$22),$M$22,NA())</f>
        <v>3</v>
      </c>
      <c r="H92" s="6">
        <f t="shared" si="2"/>
        <v>0</v>
      </c>
      <c r="I92" s="3"/>
      <c r="J92" s="3"/>
      <c r="K92" s="3"/>
      <c r="L92" s="71" t="s">
        <v>225</v>
      </c>
      <c r="M92" s="71"/>
      <c r="N92" s="71"/>
    </row>
    <row r="93" spans="1:14" ht="32" customHeight="1" x14ac:dyDescent="0.45">
      <c r="A93" s="3">
        <v>15</v>
      </c>
      <c r="B93" s="3" t="s">
        <v>3</v>
      </c>
      <c r="C93" s="3" t="s">
        <v>41</v>
      </c>
      <c r="D93" s="3" t="s">
        <v>162</v>
      </c>
      <c r="E93" s="15">
        <v>0</v>
      </c>
      <c r="F93" s="3" t="s">
        <v>136</v>
      </c>
      <c r="G93" s="6">
        <f>IF(ISNUMBER($M$35),$M$35,NA())</f>
        <v>9</v>
      </c>
      <c r="H93" s="6">
        <f t="shared" si="2"/>
        <v>0</v>
      </c>
      <c r="I93" s="3"/>
      <c r="J93" s="3"/>
      <c r="K93" s="3"/>
      <c r="L93" s="4" t="s">
        <v>226</v>
      </c>
      <c r="M93" s="9">
        <v>128</v>
      </c>
      <c r="N93" s="4" t="s">
        <v>199</v>
      </c>
    </row>
    <row r="94" spans="1:14" ht="32" customHeight="1" x14ac:dyDescent="0.45">
      <c r="A94" s="3">
        <v>15</v>
      </c>
      <c r="B94" s="3" t="s">
        <v>3</v>
      </c>
      <c r="C94" s="3" t="s">
        <v>41</v>
      </c>
      <c r="D94" s="3" t="s">
        <v>150</v>
      </c>
      <c r="E94" s="15">
        <v>8.0000000000000002E-3</v>
      </c>
      <c r="F94" s="3" t="s">
        <v>147</v>
      </c>
      <c r="G94" s="6">
        <f>IF(ISNUMBER($M$33),$M$33,NA())</f>
        <v>7</v>
      </c>
      <c r="H94" s="6">
        <f t="shared" si="2"/>
        <v>5.6000000000000001E-2</v>
      </c>
      <c r="I94" s="3"/>
      <c r="J94" s="3"/>
      <c r="K94" s="3"/>
      <c r="L94" s="4" t="s">
        <v>227</v>
      </c>
      <c r="M94" s="9">
        <v>900</v>
      </c>
      <c r="N94" s="4" t="s">
        <v>201</v>
      </c>
    </row>
    <row r="95" spans="1:14" ht="32" customHeight="1" x14ac:dyDescent="0.45">
      <c r="A95" s="3">
        <v>15</v>
      </c>
      <c r="B95" s="3" t="s">
        <v>3</v>
      </c>
      <c r="C95" s="3" t="s">
        <v>41</v>
      </c>
      <c r="D95" s="3" t="s">
        <v>152</v>
      </c>
      <c r="E95" s="15">
        <v>0.08</v>
      </c>
      <c r="F95" s="3" t="s">
        <v>153</v>
      </c>
      <c r="G95" s="6">
        <f>IF(ISNUMBER($M$53),$M$53,NA())</f>
        <v>1</v>
      </c>
      <c r="H95" s="6">
        <f t="shared" si="2"/>
        <v>0.08</v>
      </c>
      <c r="I95" s="3"/>
      <c r="J95" s="3"/>
      <c r="K95" s="3"/>
      <c r="L95" s="4" t="s">
        <v>228</v>
      </c>
      <c r="M95" s="9">
        <v>10</v>
      </c>
      <c r="N95" s="4" t="s">
        <v>134</v>
      </c>
    </row>
    <row r="96" spans="1:14" ht="32" customHeight="1" x14ac:dyDescent="0.45">
      <c r="A96" s="3">
        <v>16</v>
      </c>
      <c r="B96" s="3" t="s">
        <v>3</v>
      </c>
      <c r="C96" s="3" t="s">
        <v>6</v>
      </c>
      <c r="D96" s="3" t="s">
        <v>186</v>
      </c>
      <c r="E96" s="15">
        <v>0.04</v>
      </c>
      <c r="F96" s="3" t="s">
        <v>136</v>
      </c>
      <c r="G96" s="6">
        <f>IF(ISNUMBER($M$50),$M$50,NA())</f>
        <v>9.2592592592592595</v>
      </c>
      <c r="H96" s="6">
        <f t="shared" si="2"/>
        <v>0.37037037037037041</v>
      </c>
      <c r="I96" s="3"/>
      <c r="J96" s="3"/>
      <c r="K96" s="3"/>
      <c r="L96" s="4" t="s">
        <v>229</v>
      </c>
      <c r="M96" s="9">
        <f>M94*M95/1000</f>
        <v>9</v>
      </c>
      <c r="N96" s="4" t="s">
        <v>136</v>
      </c>
    </row>
    <row r="97" spans="1:14" ht="32" customHeight="1" x14ac:dyDescent="0.45">
      <c r="A97" s="3">
        <v>16</v>
      </c>
      <c r="B97" s="3" t="s">
        <v>3</v>
      </c>
      <c r="C97" s="3" t="s">
        <v>6</v>
      </c>
      <c r="D97" s="3" t="s">
        <v>183</v>
      </c>
      <c r="E97" s="15">
        <v>0.1</v>
      </c>
      <c r="F97" s="3" t="s">
        <v>182</v>
      </c>
      <c r="G97" s="6">
        <f>IF(ISNUMBER($M$48),$M$48,NA())</f>
        <v>7.6190476190476186</v>
      </c>
      <c r="H97" s="6">
        <f t="shared" si="2"/>
        <v>0.76190476190476186</v>
      </c>
      <c r="I97" s="3"/>
      <c r="J97" s="3"/>
      <c r="K97" s="3"/>
      <c r="L97" s="4" t="s">
        <v>230</v>
      </c>
      <c r="M97" s="9">
        <f>M93/M95</f>
        <v>12.8</v>
      </c>
      <c r="N97" s="4" t="s">
        <v>199</v>
      </c>
    </row>
    <row r="98" spans="1:14" ht="32" customHeight="1" x14ac:dyDescent="0.45">
      <c r="A98" s="3">
        <v>16</v>
      </c>
      <c r="B98" s="3" t="s">
        <v>3</v>
      </c>
      <c r="C98" s="3" t="s">
        <v>6</v>
      </c>
      <c r="D98" s="3" t="s">
        <v>187</v>
      </c>
      <c r="E98" s="15">
        <v>0</v>
      </c>
      <c r="F98" s="3" t="s">
        <v>136</v>
      </c>
      <c r="G98" s="6">
        <f>IF(ISNUMBER($M$51),$M$51,NA())</f>
        <v>3.5</v>
      </c>
      <c r="H98" s="6">
        <f t="shared" si="2"/>
        <v>0</v>
      </c>
      <c r="I98" s="3"/>
      <c r="J98" s="3"/>
      <c r="K98" s="3"/>
      <c r="L98" s="4" t="s">
        <v>231</v>
      </c>
      <c r="M98" s="9">
        <f>M93/M96</f>
        <v>14.222222222222221</v>
      </c>
      <c r="N98" s="4" t="s">
        <v>232</v>
      </c>
    </row>
    <row r="99" spans="1:14" ht="24" customHeight="1" x14ac:dyDescent="0.45">
      <c r="A99" s="3">
        <v>17</v>
      </c>
      <c r="B99" s="3" t="s">
        <v>4</v>
      </c>
      <c r="C99" s="3" t="s">
        <v>40</v>
      </c>
      <c r="D99" s="3" t="s">
        <v>133</v>
      </c>
      <c r="E99" s="15">
        <v>1.5</v>
      </c>
      <c r="F99" s="3" t="s">
        <v>134</v>
      </c>
      <c r="G99" s="6">
        <f>IF(ISNUMBER($M$5),$M$5,NA())</f>
        <v>0.13106575963718819</v>
      </c>
      <c r="H99" s="6">
        <f t="shared" si="2"/>
        <v>0.19659863945578229</v>
      </c>
      <c r="I99" s="3"/>
      <c r="J99" s="3"/>
      <c r="K99" s="3"/>
      <c r="L99" s="3"/>
      <c r="M99" s="3"/>
      <c r="N99" s="3"/>
    </row>
    <row r="100" spans="1:14" ht="32" customHeight="1" x14ac:dyDescent="0.45">
      <c r="A100" s="3">
        <v>17</v>
      </c>
      <c r="B100" s="3" t="s">
        <v>4</v>
      </c>
      <c r="C100" s="3" t="s">
        <v>40</v>
      </c>
      <c r="D100" s="3" t="s">
        <v>135</v>
      </c>
      <c r="E100" s="15">
        <v>5.0000000000000001E-3</v>
      </c>
      <c r="F100" s="3" t="s">
        <v>136</v>
      </c>
      <c r="G100" s="6">
        <f>IF(ISNUMBER($M$6),$M$6,NA())</f>
        <v>14.285714285714285</v>
      </c>
      <c r="H100" s="6">
        <f t="shared" si="2"/>
        <v>7.1428571428571425E-2</v>
      </c>
      <c r="I100" s="3"/>
      <c r="J100" s="3"/>
      <c r="K100" s="3"/>
      <c r="L100" s="4" t="s">
        <v>233</v>
      </c>
      <c r="M100" s="31">
        <v>15</v>
      </c>
      <c r="N100" s="4" t="s">
        <v>234</v>
      </c>
    </row>
    <row r="101" spans="1:14" ht="32" customHeight="1" x14ac:dyDescent="0.45">
      <c r="A101" s="3">
        <v>17</v>
      </c>
      <c r="B101" s="3" t="s">
        <v>4</v>
      </c>
      <c r="C101" s="3" t="s">
        <v>40</v>
      </c>
      <c r="D101" s="3" t="s">
        <v>149</v>
      </c>
      <c r="E101" s="15">
        <v>1.5</v>
      </c>
      <c r="F101" s="3" t="s">
        <v>134</v>
      </c>
      <c r="G101" s="6">
        <f>IF(ISNUMBER($M$13),$M$13,NA())</f>
        <v>1.1428571428571428</v>
      </c>
      <c r="H101" s="6">
        <f t="shared" si="2"/>
        <v>1.7142857142857142</v>
      </c>
      <c r="I101" s="3"/>
      <c r="J101" s="3"/>
      <c r="K101" s="3"/>
      <c r="L101" s="4" t="s">
        <v>235</v>
      </c>
      <c r="M101" s="31">
        <v>2</v>
      </c>
      <c r="N101" s="4" t="s">
        <v>134</v>
      </c>
    </row>
    <row r="102" spans="1:14" ht="32" customHeight="1" x14ac:dyDescent="0.45">
      <c r="A102" s="3">
        <v>17</v>
      </c>
      <c r="B102" s="3" t="s">
        <v>4</v>
      </c>
      <c r="C102" s="3" t="s">
        <v>40</v>
      </c>
      <c r="D102" s="3" t="s">
        <v>160</v>
      </c>
      <c r="E102" s="15">
        <v>0.03</v>
      </c>
      <c r="F102" s="3" t="s">
        <v>136</v>
      </c>
      <c r="G102" s="6">
        <f>IF(ISNUMBER($M$19),$M$19,NA())</f>
        <v>8</v>
      </c>
      <c r="H102" s="6">
        <f t="shared" si="2"/>
        <v>0.24</v>
      </c>
      <c r="I102" s="3"/>
      <c r="J102" s="3"/>
      <c r="K102" s="3"/>
      <c r="L102" s="4" t="s">
        <v>236</v>
      </c>
      <c r="M102" s="30">
        <f>M94/M100</f>
        <v>60</v>
      </c>
      <c r="N102" s="4" t="s">
        <v>237</v>
      </c>
    </row>
    <row r="103" spans="1:14" ht="32" customHeight="1" x14ac:dyDescent="0.45">
      <c r="A103" s="3">
        <v>18</v>
      </c>
      <c r="B103" s="3" t="s">
        <v>4</v>
      </c>
      <c r="C103" s="3" t="s">
        <v>5</v>
      </c>
      <c r="D103" s="3" t="s">
        <v>171</v>
      </c>
      <c r="E103" s="15">
        <v>2.5000000000000001E-2</v>
      </c>
      <c r="F103" s="3" t="s">
        <v>136</v>
      </c>
      <c r="G103" s="6">
        <f>IF(ISNUMBER($M$31),$M$31,NA())</f>
        <v>12</v>
      </c>
      <c r="H103" s="6">
        <f t="shared" si="2"/>
        <v>0.30000000000000004</v>
      </c>
      <c r="I103" s="3"/>
      <c r="J103" s="3"/>
      <c r="K103" s="3"/>
      <c r="L103" s="4" t="s">
        <v>238</v>
      </c>
      <c r="M103" s="30">
        <f>M102*M101</f>
        <v>120</v>
      </c>
      <c r="N103" s="4" t="s">
        <v>201</v>
      </c>
    </row>
    <row r="104" spans="1:14" ht="32" customHeight="1" x14ac:dyDescent="0.45">
      <c r="A104" s="3">
        <v>18</v>
      </c>
      <c r="B104" s="3" t="s">
        <v>4</v>
      </c>
      <c r="C104" s="3" t="s">
        <v>5</v>
      </c>
      <c r="D104" s="3" t="s">
        <v>167</v>
      </c>
      <c r="E104" s="15">
        <v>0.04</v>
      </c>
      <c r="F104" s="3" t="s">
        <v>136</v>
      </c>
      <c r="G104" s="6">
        <f>IF(ISNUMBER($M$27),$M$27,NA())</f>
        <v>5</v>
      </c>
      <c r="H104" s="6">
        <f t="shared" si="2"/>
        <v>0.2</v>
      </c>
      <c r="I104" s="3"/>
      <c r="J104" s="3"/>
      <c r="K104" s="3"/>
      <c r="L104" s="4" t="s">
        <v>239</v>
      </c>
      <c r="M104" s="9">
        <f>M97/M100*M101</f>
        <v>1.7066666666666668</v>
      </c>
      <c r="N104" s="4" t="s">
        <v>199</v>
      </c>
    </row>
    <row r="105" spans="1:14" ht="24" customHeight="1" x14ac:dyDescent="0.45">
      <c r="A105" s="3">
        <v>18</v>
      </c>
      <c r="B105" s="3" t="s">
        <v>4</v>
      </c>
      <c r="C105" s="3" t="s">
        <v>5</v>
      </c>
      <c r="D105" s="3" t="s">
        <v>143</v>
      </c>
      <c r="E105" s="15">
        <v>0.01</v>
      </c>
      <c r="F105" s="3" t="s">
        <v>136</v>
      </c>
      <c r="G105" s="6">
        <f>IF(ISNUMBER($M$22),$M$22,NA())</f>
        <v>3</v>
      </c>
      <c r="H105" s="6">
        <f t="shared" si="2"/>
        <v>0.03</v>
      </c>
      <c r="I105" s="3"/>
      <c r="J105" s="3"/>
      <c r="K105" s="3"/>
      <c r="L105" s="3"/>
      <c r="M105" s="3"/>
      <c r="N105" s="3"/>
    </row>
    <row r="106" spans="1:14" ht="32" customHeight="1" x14ac:dyDescent="0.45">
      <c r="A106" s="3">
        <v>18</v>
      </c>
      <c r="B106" s="3" t="s">
        <v>4</v>
      </c>
      <c r="C106" s="3" t="s">
        <v>5</v>
      </c>
      <c r="D106" s="3" t="s">
        <v>145</v>
      </c>
      <c r="E106" s="15">
        <v>0.01</v>
      </c>
      <c r="F106" s="3" t="s">
        <v>136</v>
      </c>
      <c r="G106" s="6">
        <f>IF(ISNUMBER($M$23),$M$23,NA())</f>
        <v>8</v>
      </c>
      <c r="H106" s="6">
        <f t="shared" si="2"/>
        <v>0.08</v>
      </c>
      <c r="I106" s="3"/>
      <c r="J106" s="3"/>
      <c r="K106" s="3"/>
      <c r="L106" s="72" t="s">
        <v>240</v>
      </c>
      <c r="M106" s="72"/>
      <c r="N106" s="72"/>
    </row>
    <row r="107" spans="1:14" ht="32" customHeight="1" x14ac:dyDescent="0.45">
      <c r="A107" s="3">
        <v>18</v>
      </c>
      <c r="B107" s="3" t="s">
        <v>4</v>
      </c>
      <c r="C107" s="3" t="s">
        <v>5</v>
      </c>
      <c r="D107" s="3" t="s">
        <v>148</v>
      </c>
      <c r="E107" s="15">
        <v>5.0000000000000001E-3</v>
      </c>
      <c r="F107" s="3" t="s">
        <v>136</v>
      </c>
      <c r="G107" s="6">
        <f>IF(ISNUMBER($M$24),$M$24,NA())</f>
        <v>5</v>
      </c>
      <c r="H107" s="6">
        <f t="shared" si="2"/>
        <v>2.5000000000000001E-2</v>
      </c>
      <c r="I107" s="3"/>
      <c r="J107" s="3"/>
      <c r="K107" s="3"/>
      <c r="L107" s="4" t="s">
        <v>241</v>
      </c>
      <c r="M107" s="4">
        <v>75</v>
      </c>
      <c r="N107" s="4" t="s">
        <v>242</v>
      </c>
    </row>
    <row r="108" spans="1:14" ht="32" customHeight="1" x14ac:dyDescent="0.45">
      <c r="A108" s="3">
        <v>18</v>
      </c>
      <c r="B108" s="3" t="s">
        <v>4</v>
      </c>
      <c r="C108" s="3" t="s">
        <v>5</v>
      </c>
      <c r="D108" s="3" t="s">
        <v>243</v>
      </c>
      <c r="E108" s="15">
        <f>$M$158</f>
        <v>2.2499999999999999E-2</v>
      </c>
      <c r="F108" s="3" t="s">
        <v>147</v>
      </c>
      <c r="G108" s="6">
        <f>$M$143</f>
        <v>8.5714285714285712</v>
      </c>
      <c r="H108" s="6">
        <f t="shared" si="2"/>
        <v>0.19285714285714284</v>
      </c>
      <c r="I108" s="3"/>
      <c r="J108" s="3"/>
      <c r="K108" s="3"/>
      <c r="L108" s="4" t="s">
        <v>244</v>
      </c>
      <c r="M108" s="4">
        <v>100</v>
      </c>
      <c r="N108" s="4" t="s">
        <v>134</v>
      </c>
    </row>
    <row r="109" spans="1:14" ht="32" customHeight="1" x14ac:dyDescent="0.45">
      <c r="A109" s="3">
        <v>18</v>
      </c>
      <c r="B109" s="3" t="s">
        <v>4</v>
      </c>
      <c r="C109" s="3" t="s">
        <v>5</v>
      </c>
      <c r="D109" s="3" t="s">
        <v>150</v>
      </c>
      <c r="E109" s="15">
        <v>3.0000000000000001E-3</v>
      </c>
      <c r="F109" s="3" t="s">
        <v>147</v>
      </c>
      <c r="G109" s="6">
        <f>IF(ISNUMBER($M$33),$M$33,NA())</f>
        <v>7</v>
      </c>
      <c r="H109" s="6">
        <f t="shared" si="2"/>
        <v>2.1000000000000001E-2</v>
      </c>
      <c r="I109" s="3"/>
      <c r="J109" s="3"/>
      <c r="K109" s="3"/>
      <c r="L109" s="4" t="s">
        <v>245</v>
      </c>
      <c r="M109" s="4">
        <v>3</v>
      </c>
      <c r="N109" s="4" t="s">
        <v>134</v>
      </c>
    </row>
    <row r="110" spans="1:14" ht="32" customHeight="1" x14ac:dyDescent="0.45">
      <c r="A110" s="3">
        <v>18</v>
      </c>
      <c r="B110" s="3" t="s">
        <v>4</v>
      </c>
      <c r="C110" s="3" t="s">
        <v>5</v>
      </c>
      <c r="D110" s="3" t="s">
        <v>152</v>
      </c>
      <c r="E110" s="15">
        <v>0.08</v>
      </c>
      <c r="F110" s="3" t="s">
        <v>153</v>
      </c>
      <c r="G110" s="6">
        <f>IF(ISNUMBER($M$53),$M$53,NA())</f>
        <v>1</v>
      </c>
      <c r="H110" s="6">
        <f t="shared" si="2"/>
        <v>0.08</v>
      </c>
      <c r="I110" s="3"/>
      <c r="J110" s="3"/>
      <c r="K110" s="3"/>
      <c r="L110" s="4" t="s">
        <v>246</v>
      </c>
      <c r="M110" s="32">
        <v>0.05</v>
      </c>
      <c r="N110" s="4" t="s">
        <v>247</v>
      </c>
    </row>
    <row r="111" spans="1:14" ht="32" customHeight="1" x14ac:dyDescent="0.45">
      <c r="A111" s="3">
        <v>19</v>
      </c>
      <c r="B111" s="3" t="s">
        <v>4</v>
      </c>
      <c r="C111" s="3" t="s">
        <v>41</v>
      </c>
      <c r="D111" s="3" t="s">
        <v>144</v>
      </c>
      <c r="E111" s="15">
        <v>0.04</v>
      </c>
      <c r="F111" s="3" t="s">
        <v>136</v>
      </c>
      <c r="G111" s="6">
        <f>IF(ISNUMBER($M$11),$M$11,NA())</f>
        <v>3</v>
      </c>
      <c r="H111" s="6">
        <f t="shared" si="2"/>
        <v>0.12</v>
      </c>
      <c r="I111" s="3"/>
      <c r="J111" s="3"/>
      <c r="K111" s="3"/>
      <c r="L111" s="4" t="s">
        <v>248</v>
      </c>
      <c r="M111" s="9">
        <f>M107/M108/(1+M110)</f>
        <v>0.7142857142857143</v>
      </c>
      <c r="N111" s="4" t="s">
        <v>199</v>
      </c>
    </row>
    <row r="112" spans="1:14" ht="32" customHeight="1" x14ac:dyDescent="0.45">
      <c r="A112" s="3">
        <v>19</v>
      </c>
      <c r="B112" s="3" t="s">
        <v>4</v>
      </c>
      <c r="C112" s="3" t="s">
        <v>41</v>
      </c>
      <c r="D112" s="3" t="s">
        <v>146</v>
      </c>
      <c r="E112" s="15">
        <v>0.06</v>
      </c>
      <c r="F112" s="3" t="s">
        <v>147</v>
      </c>
      <c r="G112" s="6">
        <f>IF(ISNUMBER($M$12),$M$12,NA())</f>
        <v>2.2857142857142856</v>
      </c>
      <c r="H112" s="6">
        <f t="shared" si="2"/>
        <v>0.13714285714285712</v>
      </c>
      <c r="I112" s="3"/>
      <c r="J112" s="3"/>
      <c r="K112" s="3"/>
      <c r="L112" s="4" t="s">
        <v>239</v>
      </c>
      <c r="M112" s="9">
        <f>M111*M109</f>
        <v>2.1428571428571428</v>
      </c>
      <c r="N112" s="4" t="s">
        <v>199</v>
      </c>
    </row>
    <row r="113" spans="1:14" ht="24" customHeight="1" x14ac:dyDescent="0.45">
      <c r="A113" s="3">
        <v>19</v>
      </c>
      <c r="B113" s="3" t="s">
        <v>4</v>
      </c>
      <c r="C113" s="3" t="s">
        <v>41</v>
      </c>
      <c r="D113" s="3" t="s">
        <v>149</v>
      </c>
      <c r="E113" s="15">
        <v>0.3</v>
      </c>
      <c r="F113" s="3" t="s">
        <v>134</v>
      </c>
      <c r="G113" s="6">
        <f>IF(ISNUMBER($M$13),$M$13,NA())</f>
        <v>1.1428571428571428</v>
      </c>
      <c r="H113" s="6">
        <f t="shared" si="2"/>
        <v>0.3428571428571428</v>
      </c>
      <c r="I113" s="3"/>
      <c r="J113" s="3"/>
      <c r="K113" s="3"/>
      <c r="L113" s="3"/>
      <c r="M113" s="3"/>
      <c r="N113" s="3"/>
    </row>
    <row r="114" spans="1:14" ht="34.049999999999997" customHeight="1" x14ac:dyDescent="0.45">
      <c r="A114" s="3">
        <v>19</v>
      </c>
      <c r="B114" s="3" t="s">
        <v>4</v>
      </c>
      <c r="C114" s="3" t="s">
        <v>41</v>
      </c>
      <c r="D114" s="3" t="s">
        <v>178</v>
      </c>
      <c r="E114" s="15">
        <v>0.06</v>
      </c>
      <c r="F114" s="3" t="s">
        <v>136</v>
      </c>
      <c r="G114" s="6">
        <f>IF(ISNUMBER($M$42),$M$42,NA())</f>
        <v>14.285714285714285</v>
      </c>
      <c r="H114" s="6">
        <f t="shared" si="2"/>
        <v>0.8571428571428571</v>
      </c>
      <c r="I114" s="3"/>
      <c r="J114" s="3"/>
      <c r="K114" s="3"/>
      <c r="L114" s="73" t="s">
        <v>249</v>
      </c>
      <c r="M114" s="73"/>
      <c r="N114" s="73"/>
    </row>
    <row r="115" spans="1:14" ht="34.049999999999997" customHeight="1" x14ac:dyDescent="0.45">
      <c r="A115" s="3">
        <v>19</v>
      </c>
      <c r="B115" s="3" t="s">
        <v>4</v>
      </c>
      <c r="C115" s="3" t="s">
        <v>41</v>
      </c>
      <c r="D115" s="3" t="s">
        <v>179</v>
      </c>
      <c r="E115" s="15">
        <v>4.0000000000000001E-3</v>
      </c>
      <c r="F115" s="3" t="s">
        <v>136</v>
      </c>
      <c r="G115" s="6">
        <f>IF(ISNUMBER($M$43),$M$43,NA())</f>
        <v>3.5</v>
      </c>
      <c r="H115" s="6">
        <f t="shared" si="2"/>
        <v>1.4E-2</v>
      </c>
      <c r="I115" s="3"/>
      <c r="J115" s="3"/>
      <c r="K115" s="3"/>
      <c r="L115" s="4" t="s">
        <v>250</v>
      </c>
      <c r="M115" s="4">
        <v>15</v>
      </c>
      <c r="N115" s="4" t="s">
        <v>251</v>
      </c>
    </row>
    <row r="116" spans="1:14" ht="34.049999999999997" customHeight="1" x14ac:dyDescent="0.45">
      <c r="A116" s="3">
        <v>19</v>
      </c>
      <c r="B116" s="3" t="s">
        <v>4</v>
      </c>
      <c r="C116" s="3" t="s">
        <v>41</v>
      </c>
      <c r="D116" s="3" t="s">
        <v>252</v>
      </c>
      <c r="E116" s="15">
        <v>0.01</v>
      </c>
      <c r="F116" s="3" t="s">
        <v>136</v>
      </c>
      <c r="G116" s="6">
        <f>$M$44</f>
        <v>4.5714285714285712</v>
      </c>
      <c r="H116" s="6">
        <f t="shared" si="2"/>
        <v>4.5714285714285714E-2</v>
      </c>
      <c r="I116" s="3"/>
      <c r="J116" s="3"/>
      <c r="K116" s="3"/>
      <c r="L116" s="4" t="s">
        <v>253</v>
      </c>
      <c r="M116" s="4">
        <v>10</v>
      </c>
      <c r="N116" s="4" t="s">
        <v>254</v>
      </c>
    </row>
    <row r="117" spans="1:14" ht="34.049999999999997" customHeight="1" x14ac:dyDescent="0.45">
      <c r="A117" s="3">
        <v>19</v>
      </c>
      <c r="B117" s="3" t="s">
        <v>4</v>
      </c>
      <c r="C117" s="3" t="s">
        <v>41</v>
      </c>
      <c r="D117" s="3" t="s">
        <v>150</v>
      </c>
      <c r="E117" s="15">
        <v>3.0000000000000001E-3</v>
      </c>
      <c r="F117" s="3" t="s">
        <v>147</v>
      </c>
      <c r="G117" s="6">
        <f>IF(ISNUMBER($M$33),$M$33,NA())</f>
        <v>7</v>
      </c>
      <c r="H117" s="6">
        <f t="shared" si="2"/>
        <v>2.1000000000000001E-2</v>
      </c>
      <c r="I117" s="3"/>
      <c r="J117" s="3"/>
      <c r="K117" s="3"/>
      <c r="L117" s="4" t="s">
        <v>255</v>
      </c>
      <c r="M117" s="33">
        <v>1.5</v>
      </c>
      <c r="N117" s="4" t="s">
        <v>136</v>
      </c>
    </row>
    <row r="118" spans="1:14" ht="34.049999999999997" customHeight="1" x14ac:dyDescent="0.45">
      <c r="A118" s="3">
        <v>20</v>
      </c>
      <c r="B118" s="3" t="s">
        <v>4</v>
      </c>
      <c r="C118" s="3" t="s">
        <v>6</v>
      </c>
      <c r="D118" s="3" t="s">
        <v>133</v>
      </c>
      <c r="E118" s="15">
        <v>1.5</v>
      </c>
      <c r="F118" s="3" t="s">
        <v>134</v>
      </c>
      <c r="G118" s="6">
        <f>IF(ISNUMBER($M$5),$M$5,NA())</f>
        <v>0.13106575963718819</v>
      </c>
      <c r="H118" s="6">
        <f t="shared" si="2"/>
        <v>0.19659863945578229</v>
      </c>
      <c r="I118" s="3"/>
      <c r="J118" s="3"/>
      <c r="K118" s="3"/>
      <c r="L118" s="4" t="s">
        <v>256</v>
      </c>
      <c r="M118" s="33">
        <f>SUM(M116:M117)</f>
        <v>11.5</v>
      </c>
      <c r="N118" s="4" t="s">
        <v>136</v>
      </c>
    </row>
    <row r="119" spans="1:14" ht="34.049999999999997" customHeight="1" x14ac:dyDescent="0.45">
      <c r="A119" s="3">
        <v>20</v>
      </c>
      <c r="B119" s="3" t="s">
        <v>4</v>
      </c>
      <c r="C119" s="3" t="s">
        <v>6</v>
      </c>
      <c r="D119" s="3" t="s">
        <v>135</v>
      </c>
      <c r="E119" s="15">
        <v>5.0000000000000001E-3</v>
      </c>
      <c r="F119" s="3" t="s">
        <v>136</v>
      </c>
      <c r="G119" s="6">
        <f>IF(ISNUMBER($M$6),$M$6,NA())</f>
        <v>14.285714285714285</v>
      </c>
      <c r="H119" s="6">
        <f t="shared" si="2"/>
        <v>7.1428571428571425E-2</v>
      </c>
      <c r="I119" s="3"/>
      <c r="J119" s="3"/>
      <c r="K119" s="3"/>
      <c r="L119" s="4" t="s">
        <v>257</v>
      </c>
      <c r="M119" s="9">
        <f>E53*G53+E54*G54</f>
        <v>7.66637089618456E-2</v>
      </c>
      <c r="N119" s="4" t="s">
        <v>199</v>
      </c>
    </row>
    <row r="120" spans="1:14" ht="24" customHeight="1" x14ac:dyDescent="0.45">
      <c r="A120" s="3">
        <v>20</v>
      </c>
      <c r="B120" s="3" t="s">
        <v>4</v>
      </c>
      <c r="C120" s="3" t="s">
        <v>6</v>
      </c>
      <c r="D120" s="3" t="s">
        <v>188</v>
      </c>
      <c r="E120" s="15">
        <v>0.04</v>
      </c>
      <c r="F120" s="3" t="s">
        <v>136</v>
      </c>
      <c r="G120" s="6">
        <f>IF(ISNUMBER($M$52),$M$52,NA())</f>
        <v>19.047619047619047</v>
      </c>
      <c r="H120" s="6">
        <f t="shared" si="2"/>
        <v>0.76190476190476186</v>
      </c>
      <c r="I120" s="3"/>
      <c r="J120" s="3"/>
      <c r="K120" s="3"/>
      <c r="L120" s="3"/>
      <c r="M120" s="3"/>
      <c r="N120" s="3"/>
    </row>
    <row r="121" spans="1:14" ht="34.049999999999997" customHeight="1" x14ac:dyDescent="0.45">
      <c r="A121" s="3">
        <v>20</v>
      </c>
      <c r="B121" s="3" t="s">
        <v>4</v>
      </c>
      <c r="C121" s="3" t="s">
        <v>6</v>
      </c>
      <c r="D121" s="3" t="s">
        <v>143</v>
      </c>
      <c r="E121" s="15">
        <v>1.4999999999999999E-2</v>
      </c>
      <c r="F121" s="3" t="s">
        <v>136</v>
      </c>
      <c r="G121" s="6">
        <f>IF(ISNUMBER($M$22),$M$22,NA())</f>
        <v>3</v>
      </c>
      <c r="H121" s="6">
        <f t="shared" si="2"/>
        <v>4.4999999999999998E-2</v>
      </c>
      <c r="I121" s="3"/>
      <c r="J121" s="3"/>
      <c r="K121" s="3"/>
      <c r="L121" s="34" t="s">
        <v>258</v>
      </c>
      <c r="M121" s="34" t="s">
        <v>196</v>
      </c>
      <c r="N121" s="34" t="s">
        <v>129</v>
      </c>
    </row>
    <row r="122" spans="1:14" ht="34.049999999999997" customHeight="1" x14ac:dyDescent="0.45">
      <c r="A122" s="3">
        <v>20</v>
      </c>
      <c r="B122" s="3" t="s">
        <v>4</v>
      </c>
      <c r="C122" s="3" t="s">
        <v>6</v>
      </c>
      <c r="D122" s="3" t="s">
        <v>162</v>
      </c>
      <c r="E122" s="15">
        <v>1.4999999999999999E-2</v>
      </c>
      <c r="F122" s="3" t="s">
        <v>136</v>
      </c>
      <c r="G122" s="6">
        <f>IF(ISNUMBER($M$35),$M$35,NA())</f>
        <v>9</v>
      </c>
      <c r="H122" s="6">
        <f t="shared" si="2"/>
        <v>0.13500000000000001</v>
      </c>
      <c r="I122" s="3"/>
      <c r="J122" s="3"/>
      <c r="K122" s="3"/>
      <c r="L122" s="4" t="s">
        <v>259</v>
      </c>
      <c r="M122" s="36">
        <v>7</v>
      </c>
      <c r="N122" s="4" t="s">
        <v>234</v>
      </c>
    </row>
    <row r="123" spans="1:14" ht="34.049999999999997" customHeight="1" x14ac:dyDescent="0.4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4" t="s">
        <v>260</v>
      </c>
      <c r="M123" s="36">
        <v>1</v>
      </c>
      <c r="N123" s="4" t="s">
        <v>134</v>
      </c>
    </row>
    <row r="124" spans="1:14" ht="34.049999999999997" customHeight="1" x14ac:dyDescent="0.4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4" t="s">
        <v>261</v>
      </c>
      <c r="M124" s="35">
        <f>M123/M122</f>
        <v>0.14285714285714285</v>
      </c>
      <c r="N124" s="4" t="s">
        <v>262</v>
      </c>
    </row>
    <row r="125" spans="1:14" ht="34.049999999999997" customHeight="1" x14ac:dyDescent="0.4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4" t="s">
        <v>263</v>
      </c>
      <c r="M125" s="9">
        <f>M39</f>
        <v>9</v>
      </c>
      <c r="N125" s="4" t="s">
        <v>264</v>
      </c>
    </row>
    <row r="126" spans="1:14" x14ac:dyDescent="0.4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ht="34.049999999999997" customHeight="1" x14ac:dyDescent="0.4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74" t="s">
        <v>265</v>
      </c>
      <c r="M127" s="74"/>
      <c r="N127" s="74"/>
    </row>
    <row r="128" spans="1:14" ht="32" customHeight="1" x14ac:dyDescent="0.4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4" t="s">
        <v>266</v>
      </c>
      <c r="M128" s="4">
        <v>20</v>
      </c>
      <c r="N128" s="4" t="s">
        <v>242</v>
      </c>
    </row>
    <row r="129" spans="1:14" ht="32" customHeight="1" x14ac:dyDescent="0.4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4" t="s">
        <v>267</v>
      </c>
      <c r="M129" s="4">
        <v>2.5</v>
      </c>
      <c r="N129" s="4" t="s">
        <v>136</v>
      </c>
    </row>
    <row r="130" spans="1:14" ht="32" customHeight="1" x14ac:dyDescent="0.4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4" t="s">
        <v>268</v>
      </c>
      <c r="M130" s="4">
        <v>5</v>
      </c>
      <c r="N130" s="4" t="s">
        <v>136</v>
      </c>
    </row>
    <row r="131" spans="1:14" ht="32" customHeight="1" x14ac:dyDescent="0.4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4" t="s">
        <v>269</v>
      </c>
      <c r="M131" s="4">
        <v>20</v>
      </c>
      <c r="N131" s="4" t="s">
        <v>147</v>
      </c>
    </row>
    <row r="132" spans="1:14" ht="32" customHeight="1" x14ac:dyDescent="0.4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4" t="s">
        <v>270</v>
      </c>
      <c r="M132" s="4">
        <v>0.3</v>
      </c>
      <c r="N132" s="4" t="s">
        <v>147</v>
      </c>
    </row>
    <row r="133" spans="1:14" ht="32" customHeight="1" x14ac:dyDescent="0.4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4" t="s">
        <v>271</v>
      </c>
      <c r="M133" s="35">
        <f>M130/M131*M132</f>
        <v>7.4999999999999997E-2</v>
      </c>
      <c r="N133" s="4" t="s">
        <v>136</v>
      </c>
    </row>
    <row r="134" spans="1:14" ht="32" customHeight="1" x14ac:dyDescent="0.4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4" t="s">
        <v>272</v>
      </c>
      <c r="M134" s="9">
        <f>M128/M129/1.05</f>
        <v>7.6190476190476186</v>
      </c>
      <c r="N134" s="4" t="s">
        <v>273</v>
      </c>
    </row>
    <row r="135" spans="1:14" ht="32" customHeight="1" x14ac:dyDescent="0.4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4" t="s">
        <v>274</v>
      </c>
      <c r="M135" s="9">
        <f>M133*M134</f>
        <v>0.5714285714285714</v>
      </c>
      <c r="N135" s="4" t="s">
        <v>199</v>
      </c>
    </row>
    <row r="136" spans="1:14" x14ac:dyDescent="0.4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ht="34.049999999999997" customHeight="1" x14ac:dyDescent="0.4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75" t="s">
        <v>275</v>
      </c>
      <c r="M137" s="75"/>
      <c r="N137" s="75"/>
    </row>
    <row r="138" spans="1:14" ht="34.049999999999997" customHeight="1" x14ac:dyDescent="0.4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4" t="s">
        <v>276</v>
      </c>
      <c r="M138" s="4">
        <v>3.5</v>
      </c>
      <c r="N138" s="4" t="s">
        <v>277</v>
      </c>
    </row>
    <row r="139" spans="1:14" ht="34.049999999999997" customHeight="1" x14ac:dyDescent="0.4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4" t="s">
        <v>269</v>
      </c>
      <c r="M139" s="4">
        <v>20</v>
      </c>
      <c r="N139" s="4" t="s">
        <v>147</v>
      </c>
    </row>
    <row r="140" spans="1:14" ht="34.049999999999997" customHeight="1" x14ac:dyDescent="0.4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4" t="s">
        <v>278</v>
      </c>
      <c r="M140" s="38">
        <v>3.8095238095238093</v>
      </c>
      <c r="N140" s="4" t="s">
        <v>279</v>
      </c>
    </row>
    <row r="141" spans="1:14" ht="34.049999999999997" customHeight="1" x14ac:dyDescent="0.4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4" t="s">
        <v>280</v>
      </c>
      <c r="M141" s="37">
        <f>M138/M139*$M$132</f>
        <v>5.2499999999999998E-2</v>
      </c>
      <c r="N141" s="4" t="s">
        <v>281</v>
      </c>
    </row>
    <row r="142" spans="1:14" ht="34.049999999999997" customHeight="1" x14ac:dyDescent="0.4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4" t="s">
        <v>282</v>
      </c>
      <c r="M142" s="4">
        <v>90</v>
      </c>
      <c r="N142" s="4" t="s">
        <v>242</v>
      </c>
    </row>
    <row r="143" spans="1:14" ht="34.049999999999997" customHeight="1" x14ac:dyDescent="0.4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4" t="s">
        <v>283</v>
      </c>
      <c r="M143" s="9">
        <f>M142/10/(1+M146)</f>
        <v>8.5714285714285712</v>
      </c>
      <c r="N143" s="4" t="s">
        <v>284</v>
      </c>
    </row>
    <row r="144" spans="1:14" ht="34.049999999999997" customHeight="1" x14ac:dyDescent="0.4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4" t="s">
        <v>285</v>
      </c>
      <c r="M144" s="39">
        <v>1.5</v>
      </c>
      <c r="N144" s="4" t="s">
        <v>286</v>
      </c>
    </row>
    <row r="145" spans="1:14" ht="34.049999999999997" customHeight="1" x14ac:dyDescent="0.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4" t="s">
        <v>287</v>
      </c>
      <c r="M145" s="4">
        <f>IF(ISNUMBER(M144),M144/M139*$M$132,"")</f>
        <v>2.2499999999999999E-2</v>
      </c>
      <c r="N145" s="4" t="s">
        <v>147</v>
      </c>
    </row>
    <row r="146" spans="1:14" ht="34.049999999999997" customHeight="1" x14ac:dyDescent="0.4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4" t="s">
        <v>288</v>
      </c>
      <c r="M146" s="32">
        <v>0.05</v>
      </c>
      <c r="N146" s="4" t="s">
        <v>289</v>
      </c>
    </row>
    <row r="147" spans="1:14" x14ac:dyDescent="0.4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ht="36" customHeight="1" x14ac:dyDescent="0.4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40" t="s">
        <v>290</v>
      </c>
      <c r="M148" s="40" t="s">
        <v>263</v>
      </c>
      <c r="N148" s="40" t="s">
        <v>129</v>
      </c>
    </row>
    <row r="149" spans="1:14" ht="36" customHeight="1" x14ac:dyDescent="0.4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4" t="s">
        <v>291</v>
      </c>
      <c r="M149" s="9">
        <v>8</v>
      </c>
      <c r="N149" s="4" t="s">
        <v>232</v>
      </c>
    </row>
    <row r="150" spans="1:14" x14ac:dyDescent="0.4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ht="34.049999999999997" customHeight="1" x14ac:dyDescent="0.4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76" t="s">
        <v>292</v>
      </c>
      <c r="M151" s="76"/>
      <c r="N151" s="76"/>
    </row>
    <row r="152" spans="1:14" ht="34.049999999999997" customHeight="1" x14ac:dyDescent="0.4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4" t="s">
        <v>293</v>
      </c>
      <c r="M152" s="4">
        <v>3</v>
      </c>
      <c r="N152" s="4" t="s">
        <v>294</v>
      </c>
    </row>
    <row r="153" spans="1:14" ht="34.049999999999997" customHeight="1" x14ac:dyDescent="0.45">
      <c r="A153" s="3">
        <v>18</v>
      </c>
      <c r="B153" s="3" t="s">
        <v>4</v>
      </c>
      <c r="C153" s="3" t="s">
        <v>5</v>
      </c>
      <c r="D153" s="3" t="s">
        <v>295</v>
      </c>
      <c r="E153" s="41">
        <f>$M$156</f>
        <v>5.2499999999999998E-2</v>
      </c>
      <c r="F153" s="3" t="s">
        <v>136</v>
      </c>
      <c r="G153" s="6">
        <f>$M$155</f>
        <v>2.8571428571428572</v>
      </c>
      <c r="H153" s="6">
        <f>E153*G153</f>
        <v>0.15</v>
      </c>
      <c r="I153" s="3"/>
      <c r="J153" s="3"/>
      <c r="K153" s="3"/>
      <c r="L153" s="4" t="s">
        <v>296</v>
      </c>
      <c r="M153" s="4">
        <v>3.5</v>
      </c>
      <c r="N153" s="4" t="s">
        <v>297</v>
      </c>
    </row>
    <row r="154" spans="1:14" ht="34.049999999999997" customHeight="1" x14ac:dyDescent="0.45">
      <c r="A154" s="3">
        <v>19</v>
      </c>
      <c r="B154" s="3" t="s">
        <v>4</v>
      </c>
      <c r="C154" s="3" t="s">
        <v>41</v>
      </c>
      <c r="D154" s="3" t="s">
        <v>298</v>
      </c>
      <c r="E154" s="3">
        <v>0.03</v>
      </c>
      <c r="F154" s="3" t="s">
        <v>147</v>
      </c>
      <c r="G154" s="3">
        <v>0</v>
      </c>
      <c r="H154" s="3">
        <v>0</v>
      </c>
      <c r="I154" s="3"/>
      <c r="J154" s="3"/>
      <c r="K154" s="3"/>
      <c r="L154" s="4" t="s">
        <v>299</v>
      </c>
      <c r="M154" s="4">
        <v>20</v>
      </c>
      <c r="N154" s="4" t="s">
        <v>147</v>
      </c>
    </row>
    <row r="155" spans="1:14" ht="34.049999999999997" customHeight="1" x14ac:dyDescent="0.45">
      <c r="A155" s="3">
        <v>19</v>
      </c>
      <c r="B155" s="3" t="s">
        <v>4</v>
      </c>
      <c r="C155" s="3" t="s">
        <v>41</v>
      </c>
      <c r="D155" s="3" t="s">
        <v>300</v>
      </c>
      <c r="E155" s="41">
        <f>'Receptura naleśników'!D14/$M$73</f>
        <v>6.3829787234042548E-2</v>
      </c>
      <c r="F155" s="3" t="s">
        <v>301</v>
      </c>
      <c r="G155" s="6">
        <f>$M$71</f>
        <v>7.91</v>
      </c>
      <c r="H155" s="6">
        <f>E155*G155</f>
        <v>0.50489361702127655</v>
      </c>
      <c r="I155" s="3"/>
      <c r="J155" s="3"/>
      <c r="K155" s="3"/>
      <c r="L155" s="4" t="s">
        <v>302</v>
      </c>
      <c r="M155" s="9">
        <f>M152/1.05</f>
        <v>2.8571428571428572</v>
      </c>
      <c r="N155" s="4" t="s">
        <v>303</v>
      </c>
    </row>
    <row r="156" spans="1:14" ht="34.049999999999997" customHeight="1" x14ac:dyDescent="0.4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4" t="s">
        <v>304</v>
      </c>
      <c r="M156" s="37">
        <f>M153/M154*0.3</f>
        <v>5.2499999999999998E-2</v>
      </c>
      <c r="N156" s="4" t="s">
        <v>281</v>
      </c>
    </row>
    <row r="157" spans="1:14" ht="34.049999999999997" customHeight="1" x14ac:dyDescent="0.4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4" t="s">
        <v>285</v>
      </c>
      <c r="M157" s="37">
        <v>1.5</v>
      </c>
      <c r="N157" s="4" t="s">
        <v>305</v>
      </c>
    </row>
    <row r="158" spans="1:14" ht="34.049999999999997" customHeight="1" x14ac:dyDescent="0.4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4" t="s">
        <v>287</v>
      </c>
      <c r="M158" s="37">
        <f>M157/M154*0.3</f>
        <v>2.2499999999999999E-2</v>
      </c>
      <c r="N158" s="4" t="s">
        <v>147</v>
      </c>
    </row>
    <row r="159" spans="1:14" x14ac:dyDescent="0.4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ht="34.049999999999997" customHeight="1" x14ac:dyDescent="0.4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77" t="s">
        <v>306</v>
      </c>
      <c r="M160" s="77"/>
      <c r="N160" s="77"/>
    </row>
    <row r="161" spans="1:14" ht="36" customHeight="1" x14ac:dyDescent="0.4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4" t="s">
        <v>307</v>
      </c>
      <c r="M161" s="4">
        <v>7</v>
      </c>
      <c r="N161" s="4" t="s">
        <v>242</v>
      </c>
    </row>
    <row r="162" spans="1:14" ht="36" customHeight="1" x14ac:dyDescent="0.4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4" t="s">
        <v>308</v>
      </c>
      <c r="M162" s="10">
        <v>0.66666666666666663</v>
      </c>
      <c r="N162" s="4" t="s">
        <v>309</v>
      </c>
    </row>
    <row r="163" spans="1:14" ht="36" customHeight="1" x14ac:dyDescent="0.4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4" t="s">
        <v>310</v>
      </c>
      <c r="M163" s="4">
        <v>50</v>
      </c>
      <c r="N163" s="4" t="s">
        <v>201</v>
      </c>
    </row>
    <row r="164" spans="1:14" ht="36" customHeight="1" x14ac:dyDescent="0.4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4" t="s">
        <v>311</v>
      </c>
      <c r="M164" s="9">
        <f>M161/1.05</f>
        <v>6.6666666666666661</v>
      </c>
      <c r="N164" s="4" t="s">
        <v>312</v>
      </c>
    </row>
    <row r="165" spans="1:14" ht="36" customHeight="1" x14ac:dyDescent="0.4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4" t="s">
        <v>313</v>
      </c>
      <c r="M165" s="35">
        <f>M163/1000/M162</f>
        <v>7.5000000000000011E-2</v>
      </c>
      <c r="N165" s="4" t="s">
        <v>182</v>
      </c>
    </row>
    <row r="166" spans="1:14" x14ac:dyDescent="0.4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4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4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4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4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4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4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4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4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4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4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4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4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4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4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4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4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4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4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4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4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4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4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4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4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4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4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4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4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4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4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4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4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4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4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4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4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4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4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4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4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4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4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4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4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4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4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4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4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4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4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4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4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4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4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4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4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4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4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4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4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4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4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4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4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4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4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4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4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4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4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4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4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4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4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</sheetData>
  <mergeCells count="14">
    <mergeCell ref="L127:N127"/>
    <mergeCell ref="L137:N137"/>
    <mergeCell ref="L151:N151"/>
    <mergeCell ref="L160:N160"/>
    <mergeCell ref="L76:N76"/>
    <mergeCell ref="L87:N89"/>
    <mergeCell ref="L92:N92"/>
    <mergeCell ref="L106:N106"/>
    <mergeCell ref="L114:N114"/>
    <mergeCell ref="A1:J1"/>
    <mergeCell ref="A2:J2"/>
    <mergeCell ref="L54:N59"/>
    <mergeCell ref="L61:N64"/>
    <mergeCell ref="L66:N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9"/>
  <sheetViews>
    <sheetView showGridLines="0" workbookViewId="0"/>
  </sheetViews>
  <sheetFormatPr defaultRowHeight="14.25" x14ac:dyDescent="0.45"/>
  <cols>
    <col min="1" max="1" width="40" customWidth="1"/>
    <col min="2" max="2" width="18" customWidth="1"/>
    <col min="3" max="3" width="13" customWidth="1"/>
    <col min="4" max="4" width="18" customWidth="1"/>
    <col min="5" max="5" width="13" customWidth="1"/>
  </cols>
  <sheetData>
    <row r="1" spans="1:5" ht="38" customHeight="1" x14ac:dyDescent="0.45">
      <c r="A1" s="78" t="s">
        <v>314</v>
      </c>
      <c r="B1" s="78"/>
      <c r="C1" s="78"/>
      <c r="D1" s="78"/>
      <c r="E1" s="78"/>
    </row>
    <row r="2" spans="1:5" ht="42" customHeight="1" x14ac:dyDescent="0.45">
      <c r="A2" s="66" t="str">
        <f>"Receptura technologiczna do próby. Cel: "&amp;TEXT(B3*D3,"0")&amp;" małych naleśników na "&amp;TEXT(B3,"0")&amp;" porcji. Rzeczywista wydajność zależy od patelni i grubości placków."</f>
        <v>Receptura technologiczna do próby. Cel: 20 małych naleśników na 10 porcji. Rzeczywista wydajność zależy od patelni i grubości placków.</v>
      </c>
      <c r="B2" s="66"/>
      <c r="C2" s="66"/>
      <c r="D2" s="66"/>
      <c r="E2" s="66"/>
    </row>
    <row r="3" spans="1:5" x14ac:dyDescent="0.45">
      <c r="A3" s="3" t="s">
        <v>315</v>
      </c>
      <c r="B3" s="17">
        <v>10</v>
      </c>
      <c r="C3" s="3" t="s">
        <v>316</v>
      </c>
      <c r="D3" s="3">
        <v>2</v>
      </c>
      <c r="E3" s="3" t="s">
        <v>317</v>
      </c>
    </row>
    <row r="4" spans="1:5" x14ac:dyDescent="0.45">
      <c r="A4" s="3"/>
      <c r="B4" s="3"/>
      <c r="C4" s="3"/>
      <c r="D4" s="3"/>
      <c r="E4" s="3"/>
    </row>
    <row r="5" spans="1:5" ht="30" customHeight="1" x14ac:dyDescent="0.45">
      <c r="A5" s="42" t="s">
        <v>127</v>
      </c>
      <c r="B5" s="42" t="s">
        <v>318</v>
      </c>
      <c r="C5" s="42" t="s">
        <v>129</v>
      </c>
      <c r="D5" s="42" t="s">
        <v>319</v>
      </c>
      <c r="E5" s="42" t="s">
        <v>129</v>
      </c>
    </row>
    <row r="6" spans="1:5" ht="32" customHeight="1" x14ac:dyDescent="0.45">
      <c r="A6" s="4" t="s">
        <v>320</v>
      </c>
      <c r="B6" s="30">
        <f t="shared" ref="B6:B14" si="0">D6*$B$3</f>
        <v>400</v>
      </c>
      <c r="C6" s="4" t="s">
        <v>201</v>
      </c>
      <c r="D6" s="30">
        <f>Składniki!E111*1000</f>
        <v>40</v>
      </c>
      <c r="E6" s="4" t="s">
        <v>201</v>
      </c>
    </row>
    <row r="7" spans="1:5" ht="32" customHeight="1" x14ac:dyDescent="0.45">
      <c r="A7" s="4" t="s">
        <v>321</v>
      </c>
      <c r="B7" s="30">
        <f t="shared" si="0"/>
        <v>600</v>
      </c>
      <c r="C7" s="4" t="s">
        <v>322</v>
      </c>
      <c r="D7" s="30">
        <f>Składniki!E112*1000</f>
        <v>60</v>
      </c>
      <c r="E7" s="4" t="s">
        <v>322</v>
      </c>
    </row>
    <row r="8" spans="1:5" ht="32" customHeight="1" x14ac:dyDescent="0.45">
      <c r="A8" s="4" t="s">
        <v>217</v>
      </c>
      <c r="B8" s="30">
        <f t="shared" si="0"/>
        <v>300</v>
      </c>
      <c r="C8" s="4" t="s">
        <v>322</v>
      </c>
      <c r="D8" s="30">
        <f>Składniki!E154*1000</f>
        <v>30</v>
      </c>
      <c r="E8" s="4" t="s">
        <v>322</v>
      </c>
    </row>
    <row r="9" spans="1:5" ht="32" customHeight="1" x14ac:dyDescent="0.45">
      <c r="A9" s="4" t="s">
        <v>323</v>
      </c>
      <c r="B9" s="33">
        <f t="shared" si="0"/>
        <v>3</v>
      </c>
      <c r="C9" s="4" t="s">
        <v>134</v>
      </c>
      <c r="D9" s="33">
        <f>Składniki!E113*1</f>
        <v>0.3</v>
      </c>
      <c r="E9" s="4" t="s">
        <v>134</v>
      </c>
    </row>
    <row r="10" spans="1:5" ht="32" customHeight="1" x14ac:dyDescent="0.45">
      <c r="A10" s="4" t="s">
        <v>324</v>
      </c>
      <c r="B10" s="30">
        <f t="shared" si="0"/>
        <v>30</v>
      </c>
      <c r="C10" s="4" t="s">
        <v>322</v>
      </c>
      <c r="D10" s="30">
        <f>Składniki!E117*1000</f>
        <v>3</v>
      </c>
      <c r="E10" s="4" t="s">
        <v>322</v>
      </c>
    </row>
    <row r="11" spans="1:5" ht="32" customHeight="1" x14ac:dyDescent="0.45">
      <c r="A11" s="4" t="s">
        <v>325</v>
      </c>
      <c r="B11" s="30">
        <f t="shared" si="0"/>
        <v>600</v>
      </c>
      <c r="C11" s="4" t="s">
        <v>201</v>
      </c>
      <c r="D11" s="30">
        <f>Składniki!E114*1000</f>
        <v>60</v>
      </c>
      <c r="E11" s="4" t="s">
        <v>201</v>
      </c>
    </row>
    <row r="12" spans="1:5" ht="32" customHeight="1" x14ac:dyDescent="0.45">
      <c r="A12" s="4" t="s">
        <v>326</v>
      </c>
      <c r="B12" s="30">
        <f t="shared" si="0"/>
        <v>100</v>
      </c>
      <c r="C12" s="4" t="s">
        <v>201</v>
      </c>
      <c r="D12" s="30">
        <f>Składniki!E116*1000</f>
        <v>10</v>
      </c>
      <c r="E12" s="4" t="s">
        <v>201</v>
      </c>
    </row>
    <row r="13" spans="1:5" ht="32" customHeight="1" x14ac:dyDescent="0.45">
      <c r="A13" s="4" t="s">
        <v>327</v>
      </c>
      <c r="B13" s="30">
        <f t="shared" si="0"/>
        <v>40</v>
      </c>
      <c r="C13" s="4" t="s">
        <v>201</v>
      </c>
      <c r="D13" s="30">
        <f>Składniki!E115*1000</f>
        <v>4</v>
      </c>
      <c r="E13" s="4" t="s">
        <v>201</v>
      </c>
    </row>
    <row r="14" spans="1:5" ht="32" customHeight="1" x14ac:dyDescent="0.45">
      <c r="A14" s="4" t="s">
        <v>328</v>
      </c>
      <c r="B14" s="30">
        <f t="shared" si="0"/>
        <v>300</v>
      </c>
      <c r="C14" s="4" t="s">
        <v>201</v>
      </c>
      <c r="D14" s="30">
        <v>30</v>
      </c>
      <c r="E14" s="4" t="s">
        <v>201</v>
      </c>
    </row>
    <row r="15" spans="1:5" x14ac:dyDescent="0.45">
      <c r="A15" s="3"/>
      <c r="B15" s="3"/>
      <c r="C15" s="3"/>
      <c r="D15" s="3"/>
      <c r="E15" s="3"/>
    </row>
    <row r="16" spans="1:5" ht="55.05" customHeight="1" x14ac:dyDescent="0.45">
      <c r="A16" s="66" t="s">
        <v>329</v>
      </c>
      <c r="B16" s="66"/>
      <c r="C16" s="66"/>
      <c r="D16" s="66"/>
      <c r="E16" s="66"/>
    </row>
    <row r="17" spans="1:5" ht="58.05" customHeight="1" x14ac:dyDescent="0.45">
      <c r="A17" s="66" t="s">
        <v>330</v>
      </c>
      <c r="B17" s="66"/>
      <c r="C17" s="66"/>
      <c r="D17" s="66"/>
      <c r="E17" s="66"/>
    </row>
    <row r="18" spans="1:5" ht="52.05" customHeight="1" x14ac:dyDescent="0.45">
      <c r="A18" s="66" t="s">
        <v>331</v>
      </c>
      <c r="B18" s="66"/>
      <c r="C18" s="66"/>
      <c r="D18" s="66"/>
      <c r="E18" s="66"/>
    </row>
    <row r="19" spans="1:5" ht="65" customHeight="1" x14ac:dyDescent="0.45">
      <c r="A19" s="66" t="s">
        <v>332</v>
      </c>
      <c r="B19" s="66"/>
      <c r="C19" s="66"/>
      <c r="D19" s="66"/>
      <c r="E19" s="66"/>
    </row>
    <row r="20" spans="1:5" ht="55.05" customHeight="1" x14ac:dyDescent="0.45">
      <c r="A20" s="66" t="s">
        <v>333</v>
      </c>
      <c r="B20" s="66"/>
      <c r="C20" s="66"/>
      <c r="D20" s="66"/>
      <c r="E20" s="66"/>
    </row>
    <row r="21" spans="1:5" x14ac:dyDescent="0.45">
      <c r="A21" s="3"/>
      <c r="B21" s="3"/>
      <c r="C21" s="3"/>
      <c r="D21" s="3"/>
      <c r="E21" s="3"/>
    </row>
    <row r="22" spans="1:5" ht="42" customHeight="1" x14ac:dyDescent="0.45">
      <c r="A22" s="66" t="s">
        <v>334</v>
      </c>
      <c r="B22" s="66"/>
      <c r="C22" s="66"/>
      <c r="D22" s="66"/>
      <c r="E22" s="66"/>
    </row>
    <row r="23" spans="1:5" ht="42" customHeight="1" x14ac:dyDescent="0.45">
      <c r="A23" s="66" t="s">
        <v>335</v>
      </c>
      <c r="B23" s="66"/>
      <c r="C23" s="66"/>
      <c r="D23" s="66"/>
      <c r="E23" s="66"/>
    </row>
    <row r="24" spans="1:5" ht="48" customHeight="1" x14ac:dyDescent="0.45">
      <c r="A24" s="66" t="s">
        <v>336</v>
      </c>
      <c r="B24" s="66"/>
      <c r="C24" s="66"/>
      <c r="D24" s="66"/>
      <c r="E24" s="66"/>
    </row>
    <row r="25" spans="1:5" x14ac:dyDescent="0.45">
      <c r="A25" s="3"/>
      <c r="B25" s="3"/>
      <c r="C25" s="3"/>
      <c r="D25" s="3"/>
      <c r="E25" s="3"/>
    </row>
    <row r="26" spans="1:5" x14ac:dyDescent="0.45">
      <c r="A26" s="3"/>
      <c r="B26" s="3"/>
      <c r="C26" s="3"/>
      <c r="D26" s="3"/>
      <c r="E26" s="3"/>
    </row>
    <row r="27" spans="1:5" x14ac:dyDescent="0.45">
      <c r="A27" s="3"/>
      <c r="B27" s="3"/>
      <c r="C27" s="3"/>
      <c r="D27" s="3"/>
      <c r="E27" s="3"/>
    </row>
    <row r="28" spans="1:5" x14ac:dyDescent="0.45">
      <c r="A28" s="3"/>
      <c r="B28" s="3"/>
      <c r="C28" s="3"/>
      <c r="D28" s="3"/>
      <c r="E28" s="3"/>
    </row>
    <row r="29" spans="1:5" x14ac:dyDescent="0.45">
      <c r="A29" s="3"/>
      <c r="B29" s="3"/>
      <c r="C29" s="3"/>
      <c r="D29" s="3"/>
      <c r="E29" s="3"/>
    </row>
  </sheetData>
  <mergeCells count="10">
    <mergeCell ref="A19:E19"/>
    <mergeCell ref="A20:E20"/>
    <mergeCell ref="A22:E22"/>
    <mergeCell ref="A23:E23"/>
    <mergeCell ref="A24:E24"/>
    <mergeCell ref="A1:E1"/>
    <mergeCell ref="A2:E2"/>
    <mergeCell ref="A16:E16"/>
    <mergeCell ref="A17:E17"/>
    <mergeCell ref="A18:E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0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RowHeight="14.25" x14ac:dyDescent="0.45"/>
  <cols>
    <col min="1" max="1" width="33" customWidth="1"/>
    <col min="2" max="2" width="12" customWidth="1"/>
    <col min="3" max="7" width="13" customWidth="1"/>
    <col min="8" max="9" width="15" customWidth="1"/>
    <col min="10" max="10" width="17" customWidth="1"/>
    <col min="11" max="11" width="19" customWidth="1"/>
    <col min="12" max="12" width="62" customWidth="1"/>
  </cols>
  <sheetData>
    <row r="1" spans="1:12" ht="36" customHeight="1" x14ac:dyDescent="0.45">
      <c r="A1" s="79" t="s">
        <v>337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42" customHeight="1" x14ac:dyDescent="0.45">
      <c r="A2" s="66" t="s">
        <v>338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x14ac:dyDescent="0.45">
      <c r="A3" s="3" t="s">
        <v>339</v>
      </c>
      <c r="B3" s="52">
        <f>Wycena!C45</f>
        <v>115</v>
      </c>
      <c r="C3" s="3" t="s">
        <v>340</v>
      </c>
      <c r="D3" s="52">
        <f>Wycena!C46</f>
        <v>115</v>
      </c>
      <c r="E3" s="3" t="s">
        <v>341</v>
      </c>
      <c r="F3" s="52">
        <f>Wycena!C47</f>
        <v>115</v>
      </c>
      <c r="G3" s="3" t="s">
        <v>342</v>
      </c>
      <c r="H3" s="52">
        <f>Wycena!C48</f>
        <v>115</v>
      </c>
      <c r="I3" s="3" t="s">
        <v>343</v>
      </c>
      <c r="J3" s="52">
        <f>Wycena!C49</f>
        <v>115</v>
      </c>
      <c r="K3" s="3"/>
      <c r="L3" s="3"/>
    </row>
    <row r="4" spans="1:12" ht="42" customHeight="1" x14ac:dyDescent="0.45">
      <c r="A4" s="3" t="s">
        <v>344</v>
      </c>
      <c r="B4" s="46">
        <v>0</v>
      </c>
      <c r="C4" s="66" t="s">
        <v>345</v>
      </c>
      <c r="D4" s="66"/>
      <c r="E4" s="66"/>
      <c r="F4" s="66"/>
      <c r="G4" s="66"/>
      <c r="H4" s="66"/>
      <c r="I4" s="66"/>
      <c r="J4" s="66"/>
      <c r="K4" s="66"/>
      <c r="L4" s="66"/>
    </row>
    <row r="5" spans="1:12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40.049999999999997" customHeight="1" x14ac:dyDescent="0.45">
      <c r="A6" s="47" t="s">
        <v>127</v>
      </c>
      <c r="B6" s="47" t="s">
        <v>346</v>
      </c>
      <c r="C6" s="47" t="s">
        <v>347</v>
      </c>
      <c r="D6" s="47" t="s">
        <v>348</v>
      </c>
      <c r="E6" s="47" t="s">
        <v>349</v>
      </c>
      <c r="F6" s="47" t="s">
        <v>350</v>
      </c>
      <c r="G6" s="47" t="s">
        <v>351</v>
      </c>
      <c r="H6" s="47" t="s">
        <v>352</v>
      </c>
      <c r="I6" s="47" t="s">
        <v>353</v>
      </c>
      <c r="J6" s="47" t="s">
        <v>354</v>
      </c>
      <c r="K6" s="47" t="s">
        <v>355</v>
      </c>
      <c r="L6" s="47" t="s">
        <v>356</v>
      </c>
    </row>
    <row r="7" spans="1:12" ht="62" customHeight="1" x14ac:dyDescent="0.45">
      <c r="A7" s="4" t="s">
        <v>357</v>
      </c>
      <c r="B7" s="4" t="s">
        <v>358</v>
      </c>
      <c r="C7" s="33">
        <f>IF(ISNUMBER(Wycena!C45),(SUMIFS(Składniki!$E$5:$E$155,Składniki!$D$5:$D$155,"kromka",Składniki!$B$5:$B$155,"Poniedziałek"))*Wycena!C45,"")</f>
        <v>172.5</v>
      </c>
      <c r="D7" s="33">
        <f>IF(ISNUMBER(Wycena!C46),(SUMIFS(Składniki!$E$5:$E$155,Składniki!$D$5:$D$155,"kromka",Składniki!$B$5:$B$155,"Wtorek"))*Wycena!C46,"")</f>
        <v>172.5</v>
      </c>
      <c r="E7" s="33">
        <f>IF(ISNUMBER(Wycena!C47),(SUMIFS(Składniki!$E$5:$E$155,Składniki!$D$5:$D$155,"kromka",Składniki!$B$5:$B$155,"Środa"))*Wycena!C47,"")</f>
        <v>0</v>
      </c>
      <c r="F7" s="33">
        <f>IF(ISNUMBER(Wycena!C48),(SUMIFS(Składniki!$E$5:$E$155,Składniki!$D$5:$D$155,"kromka",Składniki!$B$5:$B$155,"Czwartek"))*Wycena!C48,"")</f>
        <v>0</v>
      </c>
      <c r="G7" s="33">
        <f>IF(ISNUMBER(Wycena!C49),(SUMIFS(Składniki!$E$5:$E$155,Składniki!$D$5:$D$155,"kromka",Składniki!$B$5:$B$155,"Piątek"))*Wycena!C49,"")</f>
        <v>345</v>
      </c>
      <c r="H7" s="33">
        <f>IF(COUNT(Wycena!$C$45:$C$49)=5,SUM(C7:G7),"")</f>
        <v>690</v>
      </c>
      <c r="I7" s="33">
        <f t="shared" ref="I7:I38" si="0">IF(ISNUMBER(H7),H7*$B$4,"")</f>
        <v>0</v>
      </c>
      <c r="J7" s="30">
        <f>IF(COUNT(Wycena!$C$45:$C$49)=5,SUM(ROUNDUP(ROUND(C7*(1+$B$4)/21,9),0),ROUNDUP(ROUND(D7*(1+$B$4)/21,9),0),ROUNDUP(ROUND(E7*(1+$B$4)/21,9),0),ROUNDUP(ROUND(F7*(1+$B$4)/21,9),0),ROUNDUP(ROUND(G7*(1+$B$4)/21,9),0)),"")</f>
        <v>35</v>
      </c>
      <c r="K7" s="4" t="s">
        <v>359</v>
      </c>
      <c r="L7" s="4" t="s">
        <v>360</v>
      </c>
    </row>
    <row r="8" spans="1:12" ht="62" customHeight="1" x14ac:dyDescent="0.45">
      <c r="A8" s="48" t="s">
        <v>361</v>
      </c>
      <c r="B8" s="48" t="s">
        <v>134</v>
      </c>
      <c r="C8" s="51">
        <f>IF(ISNUMBER(Wycena!C45),(SUMIFS(Składniki!$E$5:$E$155,Składniki!$D$5:$D$155,"bułka",Składniki!$B$5:$B$155,"Poniedziałek"))*Wycena!C45,"")</f>
        <v>0</v>
      </c>
      <c r="D8" s="51">
        <f>IF(ISNUMBER(Wycena!C46),(SUMIFS(Składniki!$E$5:$E$155,Składniki!$D$5:$D$155,"bułka",Składniki!$B$5:$B$155,"Wtorek"))*Wycena!C46,"")</f>
        <v>0</v>
      </c>
      <c r="E8" s="51">
        <f>IF(ISNUMBER(Wycena!C47),(SUMIFS(Składniki!$E$5:$E$155,Składniki!$D$5:$D$155,"bułka",Składniki!$B$5:$B$155,"Środa"))*Wycena!C47,"")</f>
        <v>0</v>
      </c>
      <c r="F8" s="51">
        <f>IF(ISNUMBER(Wycena!C48),(SUMIFS(Składniki!$E$5:$E$155,Składniki!$D$5:$D$155,"bułka",Składniki!$B$5:$B$155,"Czwartek"))*Wycena!C48,"")</f>
        <v>115</v>
      </c>
      <c r="G8" s="51">
        <f>IF(ISNUMBER(Wycena!C49),(SUMIFS(Składniki!$E$5:$E$155,Składniki!$D$5:$D$155,"bułka",Składniki!$B$5:$B$155,"Piątek"))*Wycena!C49,"")</f>
        <v>0</v>
      </c>
      <c r="H8" s="51">
        <f>IF(COUNT(Wycena!$C$45:$C$49)=5,SUM(C8:G8),"")</f>
        <v>115</v>
      </c>
      <c r="I8" s="51">
        <f t="shared" si="0"/>
        <v>0</v>
      </c>
      <c r="J8" s="50">
        <f>IF(ISNUMBER(H8),ROUNDUP(ROUND((H8+I8)/1,9),0),"")</f>
        <v>115</v>
      </c>
      <c r="K8" s="48" t="s">
        <v>134</v>
      </c>
      <c r="L8" s="48" t="s">
        <v>362</v>
      </c>
    </row>
    <row r="9" spans="1:12" ht="62" customHeight="1" x14ac:dyDescent="0.45">
      <c r="A9" s="4" t="s">
        <v>363</v>
      </c>
      <c r="B9" s="4" t="s">
        <v>136</v>
      </c>
      <c r="C9" s="35">
        <f>IF(ISNUMBER(Wycena!C45),(SUMIFS(Składniki!$E$5:$E$155,Składniki!$D$5:$D$155,"masło",Składniki!$B$5:$B$155,"Poniedziałek"))*Wycena!C45,"")</f>
        <v>0.57500000000000007</v>
      </c>
      <c r="D9" s="35">
        <f>IF(ISNUMBER(Wycena!C46),(SUMIFS(Składniki!$E$5:$E$155,Składniki!$D$5:$D$155,"masło",Składniki!$B$5:$B$155,"Wtorek"))*Wycena!C46,"")</f>
        <v>0</v>
      </c>
      <c r="E9" s="35">
        <f>IF(ISNUMBER(Wycena!C47),(SUMIFS(Składniki!$E$5:$E$155,Składniki!$D$5:$D$155,"masło",Składniki!$B$5:$B$155,"Środa"))*Wycena!C47,"")</f>
        <v>0</v>
      </c>
      <c r="F9" s="35">
        <f>IF(ISNUMBER(Wycena!C48),(SUMIFS(Składniki!$E$5:$E$155,Składniki!$D$5:$D$155,"masło",Składniki!$B$5:$B$155,"Czwartek"))*Wycena!C48,"")</f>
        <v>0.57500000000000007</v>
      </c>
      <c r="G9" s="35">
        <f>IF(ISNUMBER(Wycena!C49),(SUMIFS(Składniki!$E$5:$E$155,Składniki!$D$5:$D$155,"masło",Składniki!$B$5:$B$155,"Piątek"))*Wycena!C49,"")</f>
        <v>1.1500000000000001</v>
      </c>
      <c r="H9" s="35">
        <f>IF(COUNT(Wycena!$C$45:$C$49)=5,SUM(C9:G9),"")</f>
        <v>2.3000000000000003</v>
      </c>
      <c r="I9" s="35">
        <f t="shared" si="0"/>
        <v>0</v>
      </c>
      <c r="J9" s="30">
        <f>IF(ISNUMBER(H9),ROUNDUP(ROUND((H9+I9)/0.2,9),0),"")</f>
        <v>12</v>
      </c>
      <c r="K9" s="4" t="s">
        <v>364</v>
      </c>
      <c r="L9" s="4" t="s">
        <v>365</v>
      </c>
    </row>
    <row r="10" spans="1:12" ht="62" customHeight="1" x14ac:dyDescent="0.45">
      <c r="A10" s="48" t="s">
        <v>366</v>
      </c>
      <c r="B10" s="48" t="s">
        <v>136</v>
      </c>
      <c r="C10" s="49">
        <f>IF(ISNUMBER(Wycena!C45),(SUMIFS(Składniki!$E$5:$E$155,Składniki!$D$5:$D$155,"wędlina",Składniki!$B$5:$B$155,"Poniedziałek"))*Wycena!C45,"")</f>
        <v>2.3000000000000003</v>
      </c>
      <c r="D10" s="49">
        <f>IF(ISNUMBER(Wycena!C46),(SUMIFS(Składniki!$E$5:$E$155,Składniki!$D$5:$D$155,"wędlina",Składniki!$B$5:$B$155,"Wtorek"))*Wycena!C46,"")</f>
        <v>0</v>
      </c>
      <c r="E10" s="49">
        <f>IF(ISNUMBER(Wycena!C47),(SUMIFS(Składniki!$E$5:$E$155,Składniki!$D$5:$D$155,"wędlina",Składniki!$B$5:$B$155,"Środa"))*Wycena!C47,"")</f>
        <v>0</v>
      </c>
      <c r="F10" s="49">
        <f>IF(ISNUMBER(Wycena!C48),(SUMIFS(Składniki!$E$5:$E$155,Składniki!$D$5:$D$155,"wędlina",Składniki!$B$5:$B$155,"Czwartek"))*Wycena!C48,"")</f>
        <v>0</v>
      </c>
      <c r="G10" s="49">
        <f>IF(ISNUMBER(Wycena!C49),(SUMIFS(Składniki!$E$5:$E$155,Składniki!$D$5:$D$155,"wędlina",Składniki!$B$5:$B$155,"Piątek"))*Wycena!C49,"")</f>
        <v>0</v>
      </c>
      <c r="H10" s="49">
        <f>IF(COUNT(Wycena!$C$45:$C$49)=5,SUM(C10:G10),"")</f>
        <v>2.3000000000000003</v>
      </c>
      <c r="I10" s="49">
        <f t="shared" si="0"/>
        <v>0</v>
      </c>
      <c r="J10" s="49">
        <f>IF(ISNUMBER(H10),ROUNDUP(ROUND((H10+I10)*1000,6),0)/1000,"")</f>
        <v>2.2999999999999998</v>
      </c>
      <c r="K10" s="48" t="s">
        <v>136</v>
      </c>
      <c r="L10" s="48" t="s">
        <v>367</v>
      </c>
    </row>
    <row r="11" spans="1:12" ht="62" customHeight="1" x14ac:dyDescent="0.45">
      <c r="A11" s="4" t="s">
        <v>368</v>
      </c>
      <c r="B11" s="4" t="s">
        <v>134</v>
      </c>
      <c r="C11" s="33">
        <f>IF(ISNUMBER(Wycena!C45),(SUMIFS(Składniki!$E$5:$E$155,Składniki!$D$5:$D$155,"parówka",Składniki!$B$5:$B$155,"Poniedziałek"))*Wycena!C45,"")</f>
        <v>0</v>
      </c>
      <c r="D11" s="33">
        <f>IF(ISNUMBER(Wycena!C46),(SUMIFS(Składniki!$E$5:$E$155,Składniki!$D$5:$D$155,"parówka",Składniki!$B$5:$B$155,"Wtorek"))*Wycena!C46,"")</f>
        <v>172.5</v>
      </c>
      <c r="E11" s="33">
        <f>IF(ISNUMBER(Wycena!C47),(SUMIFS(Składniki!$E$5:$E$155,Składniki!$D$5:$D$155,"parówka",Składniki!$B$5:$B$155,"Środa"))*Wycena!C47,"")</f>
        <v>0</v>
      </c>
      <c r="F11" s="33">
        <f>IF(ISNUMBER(Wycena!C48),(SUMIFS(Składniki!$E$5:$E$155,Składniki!$D$5:$D$155,"parówka",Składniki!$B$5:$B$155,"Czwartek"))*Wycena!C48,"")</f>
        <v>0</v>
      </c>
      <c r="G11" s="33">
        <f>IF(ISNUMBER(Wycena!C49),(SUMIFS(Składniki!$E$5:$E$155,Składniki!$D$5:$D$155,"parówka",Składniki!$B$5:$B$155,"Piątek"))*Wycena!C49,"")</f>
        <v>0</v>
      </c>
      <c r="H11" s="33">
        <f>IF(COUNT(Wycena!$C$45:$C$49)=5,SUM(C11:G11),"")</f>
        <v>172.5</v>
      </c>
      <c r="I11" s="33">
        <f t="shared" si="0"/>
        <v>0</v>
      </c>
      <c r="J11" s="30">
        <f>IF(ISNUMBER(H11),ROUNDUP(ROUND((H11+I11)/16,9),0),"")</f>
        <v>11</v>
      </c>
      <c r="K11" s="4" t="s">
        <v>369</v>
      </c>
      <c r="L11" s="4" t="s">
        <v>370</v>
      </c>
    </row>
    <row r="12" spans="1:12" ht="62" customHeight="1" x14ac:dyDescent="0.45">
      <c r="A12" s="48" t="s">
        <v>371</v>
      </c>
      <c r="B12" s="48" t="s">
        <v>136</v>
      </c>
      <c r="C12" s="49">
        <f>IF(ISNUMBER(Wycena!C45),(SUMIFS(Składniki!$E$5:$E$155,Składniki!$D$5:$D$155,"filet",Składniki!$B$5:$B$155,"Poniedziałek"))*Wycena!C45,"")</f>
        <v>9.2000000000000011</v>
      </c>
      <c r="D12" s="49">
        <f>IF(ISNUMBER(Wycena!C46),(SUMIFS(Składniki!$E$5:$E$155,Składniki!$D$5:$D$155,"filet",Składniki!$B$5:$B$155,"Wtorek"))*Wycena!C46,"")</f>
        <v>0</v>
      </c>
      <c r="E12" s="49">
        <f>IF(ISNUMBER(Wycena!C47),(SUMIFS(Składniki!$E$5:$E$155,Składniki!$D$5:$D$155,"filet",Składniki!$B$5:$B$155,"Środa"))*Wycena!C47,"")</f>
        <v>0</v>
      </c>
      <c r="F12" s="49">
        <f>IF(ISNUMBER(Wycena!C48),(SUMIFS(Składniki!$E$5:$E$155,Składniki!$D$5:$D$155,"filet",Składniki!$B$5:$B$155,"Czwartek"))*Wycena!C48,"")</f>
        <v>0</v>
      </c>
      <c r="G12" s="49">
        <f>IF(ISNUMBER(Wycena!C49),(SUMIFS(Składniki!$E$5:$E$155,Składniki!$D$5:$D$155,"filet",Składniki!$B$5:$B$155,"Piątek"))*Wycena!C49,"")</f>
        <v>0</v>
      </c>
      <c r="H12" s="49">
        <f>IF(COUNT(Wycena!$C$45:$C$49)=5,SUM(C12:G12),"")</f>
        <v>9.2000000000000011</v>
      </c>
      <c r="I12" s="49">
        <f t="shared" si="0"/>
        <v>0</v>
      </c>
      <c r="J12" s="49">
        <f>IF(ISNUMBER(H12),ROUNDUP(ROUND((H12+I12)*1000,6),0)/1000,"")</f>
        <v>9.1999999999999993</v>
      </c>
      <c r="K12" s="48" t="s">
        <v>136</v>
      </c>
      <c r="L12" s="48" t="s">
        <v>372</v>
      </c>
    </row>
    <row r="13" spans="1:12" ht="62" customHeight="1" x14ac:dyDescent="0.45">
      <c r="A13" s="4" t="s">
        <v>373</v>
      </c>
      <c r="B13" s="4" t="s">
        <v>136</v>
      </c>
      <c r="C13" s="35">
        <f>IF(ISNUMBER(Wycena!C45),(SUMIFS(Składniki!$E$5:$E$155,Składniki!$D$5:$D$155,"wieprzowina",Składniki!$B$5:$B$155,"Poniedziałek"))*Wycena!C45,"")</f>
        <v>0</v>
      </c>
      <c r="D13" s="35">
        <f>IF(ISNUMBER(Wycena!C46),(SUMIFS(Składniki!$E$5:$E$155,Składniki!$D$5:$D$155,"wieprzowina",Składniki!$B$5:$B$155,"Wtorek"))*Wycena!C46,"")</f>
        <v>4.6000000000000005</v>
      </c>
      <c r="E13" s="35">
        <f>IF(ISNUMBER(Wycena!C47),(SUMIFS(Składniki!$E$5:$E$155,Składniki!$D$5:$D$155,"wieprzowina",Składniki!$B$5:$B$155,"Środa"))*Wycena!C47,"")</f>
        <v>0</v>
      </c>
      <c r="F13" s="35">
        <f>IF(ISNUMBER(Wycena!C48),(SUMIFS(Składniki!$E$5:$E$155,Składniki!$D$5:$D$155,"wieprzowina",Składniki!$B$5:$B$155,"Czwartek"))*Wycena!C48,"")</f>
        <v>0</v>
      </c>
      <c r="G13" s="35">
        <f>IF(ISNUMBER(Wycena!C49),(SUMIFS(Składniki!$E$5:$E$155,Składniki!$D$5:$D$155,"wieprzowina",Składniki!$B$5:$B$155,"Piątek"))*Wycena!C49,"")</f>
        <v>0</v>
      </c>
      <c r="H13" s="35">
        <f>IF(COUNT(Wycena!$C$45:$C$49)=5,SUM(C13:G13),"")</f>
        <v>4.6000000000000005</v>
      </c>
      <c r="I13" s="35">
        <f t="shared" si="0"/>
        <v>0</v>
      </c>
      <c r="J13" s="35">
        <f>IF(ISNUMBER(H13),ROUNDUP(ROUND((H13+I13)*1000,6),0)/1000,"")</f>
        <v>4.5999999999999996</v>
      </c>
      <c r="K13" s="4" t="s">
        <v>136</v>
      </c>
      <c r="L13" s="4" t="s">
        <v>374</v>
      </c>
    </row>
    <row r="14" spans="1:12" ht="62" customHeight="1" x14ac:dyDescent="0.45">
      <c r="A14" s="48" t="s">
        <v>258</v>
      </c>
      <c r="B14" s="48" t="s">
        <v>136</v>
      </c>
      <c r="C14" s="49">
        <f>IF(ISNUMBER(Wycena!C45),(SUMIFS(Składniki!$E$5:$E$155,Składniki!$D$5:$D$155,"pałka kurczaka z kością",Składniki!$B$5:$B$155,"Poniedziałek"))*Wycena!C45,"")</f>
        <v>0</v>
      </c>
      <c r="D14" s="49">
        <f>IF(ISNUMBER(Wycena!C46),(SUMIFS(Składniki!$E$5:$E$155,Składniki!$D$5:$D$155,"pałka kurczaka z kością",Składniki!$B$5:$B$155,"Wtorek"))*Wycena!C46,"")</f>
        <v>0</v>
      </c>
      <c r="E14" s="49">
        <f>IF(ISNUMBER(Wycena!C47),(SUMIFS(Składniki!$E$5:$E$155,Składniki!$D$5:$D$155,"pałka kurczaka z kością",Składniki!$B$5:$B$155,"Środa"))*Wycena!C47,"")</f>
        <v>16.428571428571427</v>
      </c>
      <c r="F14" s="49">
        <f>IF(ISNUMBER(Wycena!C48),(SUMIFS(Składniki!$E$5:$E$155,Składniki!$D$5:$D$155,"pałka kurczaka z kością",Składniki!$B$5:$B$155,"Czwartek"))*Wycena!C48,"")</f>
        <v>0</v>
      </c>
      <c r="G14" s="49">
        <f>IF(ISNUMBER(Wycena!C49),(SUMIFS(Składniki!$E$5:$E$155,Składniki!$D$5:$D$155,"pałka kurczaka z kością",Składniki!$B$5:$B$155,"Piątek"))*Wycena!C49,"")</f>
        <v>0</v>
      </c>
      <c r="H14" s="49">
        <f>IF(COUNT(Wycena!$C$45:$C$49)=5,SUM(C14:G14),"")</f>
        <v>16.428571428571427</v>
      </c>
      <c r="I14" s="49">
        <f t="shared" si="0"/>
        <v>0</v>
      </c>
      <c r="J14" s="50">
        <f>IF(ISNUMBER(H14),ROUNDUP(ROUND((H14+I14)*Składniki!$M$122,9),0),"")</f>
        <v>115</v>
      </c>
      <c r="K14" s="48" t="s">
        <v>134</v>
      </c>
      <c r="L14" s="48" t="s">
        <v>375</v>
      </c>
    </row>
    <row r="15" spans="1:12" ht="62" customHeight="1" x14ac:dyDescent="0.45">
      <c r="A15" s="4" t="s">
        <v>376</v>
      </c>
      <c r="B15" s="4" t="s">
        <v>136</v>
      </c>
      <c r="C15" s="35">
        <f>IF(ISNUMBER(Wycena!C45),(SUMIFS(Składniki!$E$5:$E$155,Składniki!$D$5:$D$155,"paluszki",Składniki!$B$5:$B$155,"Poniedziałek"))*Wycena!C45,"")</f>
        <v>0</v>
      </c>
      <c r="D15" s="35">
        <f>IF(ISNUMBER(Wycena!C46),(SUMIFS(Składniki!$E$5:$E$155,Składniki!$D$5:$D$155,"paluszki",Składniki!$B$5:$B$155,"Wtorek"))*Wycena!C46,"")</f>
        <v>0</v>
      </c>
      <c r="E15" s="35">
        <f>IF(ISNUMBER(Wycena!C47),(SUMIFS(Składniki!$E$5:$E$155,Składniki!$D$5:$D$155,"paluszki",Składniki!$B$5:$B$155,"Środa"))*Wycena!C47,"")</f>
        <v>0</v>
      </c>
      <c r="F15" s="35">
        <f>IF(ISNUMBER(Wycena!C48),(SUMIFS(Składniki!$E$5:$E$155,Składniki!$D$5:$D$155,"paluszki",Składniki!$B$5:$B$155,"Czwartek"))*Wycena!C48,"")</f>
        <v>9.2000000000000011</v>
      </c>
      <c r="G15" s="35">
        <f>IF(ISNUMBER(Wycena!C49),(SUMIFS(Składniki!$E$5:$E$155,Składniki!$D$5:$D$155,"paluszki",Składniki!$B$5:$B$155,"Piątek"))*Wycena!C49,"")</f>
        <v>0</v>
      </c>
      <c r="H15" s="35">
        <f>IF(COUNT(Wycena!$C$45:$C$49)=5,SUM(C15:G15),"")</f>
        <v>9.2000000000000011</v>
      </c>
      <c r="I15" s="35">
        <f t="shared" si="0"/>
        <v>0</v>
      </c>
      <c r="J15" s="30">
        <f>IF(ISNUMBER(H15),ROUNDUP(ROUND((H15+I15)/5,9),0),"")</f>
        <v>2</v>
      </c>
      <c r="K15" s="4" t="s">
        <v>377</v>
      </c>
      <c r="L15" s="4" t="s">
        <v>378</v>
      </c>
    </row>
    <row r="16" spans="1:12" ht="62" customHeight="1" x14ac:dyDescent="0.45">
      <c r="A16" s="48" t="s">
        <v>379</v>
      </c>
      <c r="B16" s="48" t="s">
        <v>136</v>
      </c>
      <c r="C16" s="49">
        <f>IF(ISNUMBER(Wycena!C45),(SUMIFS(Składniki!$E$5:$E$155,Składniki!$D$5:$D$155,"kości schabowe",Składniki!$B$5:$B$155,"Poniedziałek"))*Wycena!C45,"")</f>
        <v>0</v>
      </c>
      <c r="D16" s="49">
        <f>IF(ISNUMBER(Wycena!C46),(SUMIFS(Składniki!$E$5:$E$155,Składniki!$D$5:$D$155,"kości schabowe",Składniki!$B$5:$B$155,"Wtorek"))*Wycena!C46,"")</f>
        <v>0</v>
      </c>
      <c r="E16" s="49">
        <f>IF(ISNUMBER(Wycena!C47),(SUMIFS(Składniki!$E$5:$E$155,Składniki!$D$5:$D$155,"kości schabowe",Składniki!$B$5:$B$155,"Środa"))*Wycena!C47,"")</f>
        <v>0</v>
      </c>
      <c r="F16" s="49">
        <f>IF(ISNUMBER(Wycena!C48),(SUMIFS(Składniki!$E$5:$E$155,Składniki!$D$5:$D$155,"kości schabowe",Składniki!$B$5:$B$155,"Czwartek"))*Wycena!C48,"")</f>
        <v>6.0374999999999996</v>
      </c>
      <c r="G16" s="49">
        <f>IF(ISNUMBER(Wycena!C49),(SUMIFS(Składniki!$E$5:$E$155,Składniki!$D$5:$D$155,"kości schabowe",Składniki!$B$5:$B$155,"Piątek"))*Wycena!C49,"")</f>
        <v>0</v>
      </c>
      <c r="H16" s="49">
        <f>IF(COUNT(Wycena!$C$45:$C$49)=5,SUM(C16:G16),"")</f>
        <v>6.0374999999999996</v>
      </c>
      <c r="I16" s="49">
        <f t="shared" si="0"/>
        <v>0</v>
      </c>
      <c r="J16" s="49">
        <f>IF(ISNUMBER(H16),ROUNDUP(ROUND((H16+I16)*1000,6),0)/1000,"")</f>
        <v>6.0380000000000003</v>
      </c>
      <c r="K16" s="48" t="s">
        <v>136</v>
      </c>
      <c r="L16" s="48" t="s">
        <v>380</v>
      </c>
    </row>
    <row r="17" spans="1:12" ht="62" customHeight="1" x14ac:dyDescent="0.45">
      <c r="A17" s="4" t="s">
        <v>381</v>
      </c>
      <c r="B17" s="4" t="s">
        <v>136</v>
      </c>
      <c r="C17" s="35">
        <f>IF(ISNUMBER(Wycena!C45),(SUMIFS(Składniki!$E$5:$E$155,Składniki!$D$5:$D$155,"porcje rosołowe do wywaru",Składniki!$B$5:$B$155,"Poniedziałek"))*Wycena!C45,"")</f>
        <v>0</v>
      </c>
      <c r="D17" s="35">
        <f>IF(ISNUMBER(Wycena!C46),(SUMIFS(Składniki!$E$5:$E$155,Składniki!$D$5:$D$155,"porcje rosołowe do wywaru",Składniki!$B$5:$B$155,"Wtorek"))*Wycena!C46,"")</f>
        <v>0</v>
      </c>
      <c r="E17" s="35">
        <f>IF(ISNUMBER(Wycena!C47),(SUMIFS(Składniki!$E$5:$E$155,Składniki!$D$5:$D$155,"porcje rosołowe do wywaru",Składniki!$B$5:$B$155,"Środa"))*Wycena!C47,"")</f>
        <v>0</v>
      </c>
      <c r="F17" s="35">
        <f>IF(ISNUMBER(Wycena!C48),(SUMIFS(Składniki!$E$5:$E$155,Składniki!$D$5:$D$155,"porcje rosołowe do wywaru",Składniki!$B$5:$B$155,"Czwartek"))*Wycena!C48,"")</f>
        <v>0</v>
      </c>
      <c r="G17" s="35">
        <f>IF(ISNUMBER(Wycena!C49),(SUMIFS(Składniki!$E$5:$E$155,Składniki!$D$5:$D$155,"porcje rosołowe do wywaru",Składniki!$B$5:$B$155,"Piątek"))*Wycena!C49,"")</f>
        <v>6.0374999999999996</v>
      </c>
      <c r="H17" s="35">
        <f>IF(COUNT(Wycena!$C$45:$C$49)=5,SUM(C17:G17),"")</f>
        <v>6.0374999999999996</v>
      </c>
      <c r="I17" s="35">
        <f t="shared" si="0"/>
        <v>0</v>
      </c>
      <c r="J17" s="35">
        <f>IF(ISNUMBER(H17),ROUNDUP(ROUND((H17+I17)*1000,6),0)/1000,"")</f>
        <v>6.0380000000000003</v>
      </c>
      <c r="K17" s="4" t="s">
        <v>136</v>
      </c>
      <c r="L17" s="4" t="s">
        <v>382</v>
      </c>
    </row>
    <row r="18" spans="1:12" ht="62" customHeight="1" x14ac:dyDescent="0.45">
      <c r="A18" s="48" t="s">
        <v>323</v>
      </c>
      <c r="B18" s="48" t="s">
        <v>134</v>
      </c>
      <c r="C18" s="51">
        <f>IF(ISNUMBER(Wycena!C45),(SUMIFS(Składniki!$E$5:$E$155,Składniki!$D$5:$D$155,"jaja",Składniki!$B$5:$B$155,"Poniedziałek"))*Wycena!C45,"")</f>
        <v>17.25</v>
      </c>
      <c r="D18" s="51">
        <f>IF(ISNUMBER(Wycena!C46),(SUMIFS(Składniki!$E$5:$E$155,Składniki!$D$5:$D$155,"jaja",Składniki!$B$5:$B$155,"Wtorek"))*Wycena!C46,"")</f>
        <v>0</v>
      </c>
      <c r="E18" s="51">
        <f>IF(ISNUMBER(Wycena!C47),(SUMIFS(Składniki!$E$5:$E$155,Składniki!$D$5:$D$155,"jaja",Składniki!$B$5:$B$155,"Środa"))*Wycena!C47,"")</f>
        <v>0</v>
      </c>
      <c r="F18" s="51">
        <f>IF(ISNUMBER(Wycena!C48),(SUMIFS(Składniki!$E$5:$E$155,Składniki!$D$5:$D$155,"jaja",Składniki!$B$5:$B$155,"Czwartek"))*Wycena!C48,"")</f>
        <v>0</v>
      </c>
      <c r="G18" s="51">
        <f>IF(ISNUMBER(Wycena!C49),(SUMIFS(Składniki!$E$5:$E$155,Składniki!$D$5:$D$155,"jaja",Składniki!$B$5:$B$155,"Piątek"))*Wycena!C49,"")</f>
        <v>207</v>
      </c>
      <c r="H18" s="51">
        <f>IF(COUNT(Wycena!$C$45:$C$49)=5,SUM(C18:G18),"")</f>
        <v>224.25</v>
      </c>
      <c r="I18" s="51">
        <f t="shared" si="0"/>
        <v>0</v>
      </c>
      <c r="J18" s="50">
        <f>IF(ISNUMBER(H18),ROUNDUP(ROUND((H18+I18)/1,9),0),"")</f>
        <v>225</v>
      </c>
      <c r="K18" s="48" t="s">
        <v>134</v>
      </c>
      <c r="L18" s="48" t="s">
        <v>383</v>
      </c>
    </row>
    <row r="19" spans="1:12" ht="62" customHeight="1" x14ac:dyDescent="0.45">
      <c r="A19" s="4" t="s">
        <v>321</v>
      </c>
      <c r="B19" s="4" t="s">
        <v>147</v>
      </c>
      <c r="C19" s="35">
        <f>IF(ISNUMBER(Wycena!C45),(SUMIFS(Składniki!$E$5:$E$155,Składniki!$D$5:$D$155,"mleko",Składniki!$B$5:$B$155,"Poniedziałek"))*Wycena!C45,"")</f>
        <v>0</v>
      </c>
      <c r="D19" s="35">
        <f>IF(ISNUMBER(Wycena!C46),(SUMIFS(Składniki!$E$5:$E$155,Składniki!$D$5:$D$155,"mleko",Składniki!$B$5:$B$155,"Wtorek"))*Wycena!C46,"")</f>
        <v>20.7</v>
      </c>
      <c r="E19" s="35">
        <f>IF(ISNUMBER(Wycena!C47),(SUMIFS(Składniki!$E$5:$E$155,Składniki!$D$5:$D$155,"mleko",Składniki!$B$5:$B$155,"Środa"))*Wycena!C47,"")</f>
        <v>0</v>
      </c>
      <c r="F19" s="35">
        <f>IF(ISNUMBER(Wycena!C48),(SUMIFS(Składniki!$E$5:$E$155,Składniki!$D$5:$D$155,"mleko",Składniki!$B$5:$B$155,"Czwartek"))*Wycena!C48,"")</f>
        <v>23</v>
      </c>
      <c r="G19" s="35">
        <f>IF(ISNUMBER(Wycena!C49),(SUMIFS(Składniki!$E$5:$E$155,Składniki!$D$5:$D$155,"mleko",Składniki!$B$5:$B$155,"Piątek"))*Wycena!C49,"")</f>
        <v>6.8999999999999995</v>
      </c>
      <c r="H19" s="35">
        <f>IF(COUNT(Wycena!$C$45:$C$49)=5,SUM(C19:G19),"")</f>
        <v>50.6</v>
      </c>
      <c r="I19" s="35">
        <f t="shared" si="0"/>
        <v>0</v>
      </c>
      <c r="J19" s="30">
        <f>IF(ISNUMBER(H19),ROUNDUP(ROUND((H19+I19)/1,9),0),"")</f>
        <v>51</v>
      </c>
      <c r="K19" s="4" t="s">
        <v>384</v>
      </c>
      <c r="L19" s="4" t="s">
        <v>385</v>
      </c>
    </row>
    <row r="20" spans="1:12" ht="62" customHeight="1" x14ac:dyDescent="0.45">
      <c r="A20" s="48" t="s">
        <v>386</v>
      </c>
      <c r="B20" s="48" t="s">
        <v>136</v>
      </c>
      <c r="C20" s="49">
        <f>IF(ISNUMBER(Wycena!C45),(SUMIFS(Składniki!$E$5:$E$155,Składniki!$D$5:$D$155,"jogurtO",Składniki!$B$5:$B$155,"Poniedziałek")+SUMIFS(Składniki!$E$5:$E$155,Składniki!$D$5:$D$155,"jogurt do musu",Składniki!$B$5:$B$155,"Poniedziałek")+SUMIFS(Składniki!$E$5:$E$155,Składniki!$D$5:$D$155,"jogurt do nadzienia",Składniki!$B$5:$B$155,"Poniedziałek"))*Wycena!C45,"")</f>
        <v>20</v>
      </c>
      <c r="D20" s="49">
        <f>IF(ISNUMBER(Wycena!C46),(SUMIFS(Składniki!$E$5:$E$155,Składniki!$D$5:$D$155,"jogurtO",Składniki!$B$5:$B$155,"Wtorek")+SUMIFS(Składniki!$E$5:$E$155,Składniki!$D$5:$D$155,"jogurt do musu",Składniki!$B$5:$B$155,"Wtorek")+SUMIFS(Składniki!$E$5:$E$155,Składniki!$D$5:$D$155,"jogurt do nadzienia",Składniki!$B$5:$B$155,"Wtorek"))*Wycena!C46,"")</f>
        <v>0</v>
      </c>
      <c r="E20" s="49">
        <f>IF(ISNUMBER(Wycena!C47),(SUMIFS(Składniki!$E$5:$E$155,Składniki!$D$5:$D$155,"jogurtO",Składniki!$B$5:$B$155,"Środa")+SUMIFS(Składniki!$E$5:$E$155,Składniki!$D$5:$D$155,"jogurt do musu",Składniki!$B$5:$B$155,"Środa")+SUMIFS(Składniki!$E$5:$E$155,Składniki!$D$5:$D$155,"jogurt do nadzienia",Składniki!$B$5:$B$155,"Środa"))*Wycena!C47,"")</f>
        <v>1.5</v>
      </c>
      <c r="F20" s="49">
        <f>IF(ISNUMBER(Wycena!C48),(SUMIFS(Składniki!$E$5:$E$155,Składniki!$D$5:$D$155,"jogurtO",Składniki!$B$5:$B$155,"Czwartek")+SUMIFS(Składniki!$E$5:$E$155,Składniki!$D$5:$D$155,"jogurt do musu",Składniki!$B$5:$B$155,"Czwartek")+SUMIFS(Składniki!$E$5:$E$155,Składniki!$D$5:$D$155,"jogurt do nadzienia",Składniki!$B$5:$B$155,"Czwartek"))*Wycena!C48,"")</f>
        <v>0</v>
      </c>
      <c r="G20" s="49">
        <f>IF(ISNUMBER(Wycena!C49),(SUMIFS(Składniki!$E$5:$E$155,Składniki!$D$5:$D$155,"jogurtO",Składniki!$B$5:$B$155,"Piątek")+SUMIFS(Składniki!$E$5:$E$155,Składniki!$D$5:$D$155,"jogurt do musu",Składniki!$B$5:$B$155,"Piątek")+SUMIFS(Składniki!$E$5:$E$155,Składniki!$D$5:$D$155,"jogurt do nadzienia",Składniki!$B$5:$B$155,"Piątek"))*Wycena!C49,"")</f>
        <v>1.1500000000000001</v>
      </c>
      <c r="H20" s="49">
        <f>IF(COUNT(Wycena!$C$45:$C$49)=5,SUM(C20:G20),"")</f>
        <v>22.65</v>
      </c>
      <c r="I20" s="49">
        <f t="shared" si="0"/>
        <v>0</v>
      </c>
      <c r="J20" s="50">
        <f>IF(ISNUMBER(H20),ROUNDUP(ROUND((H20+I20)/10,9),0),"")</f>
        <v>3</v>
      </c>
      <c r="K20" s="48" t="s">
        <v>387</v>
      </c>
      <c r="L20" s="48" t="s">
        <v>388</v>
      </c>
    </row>
    <row r="21" spans="1:12" ht="62" customHeight="1" x14ac:dyDescent="0.45">
      <c r="A21" s="4" t="s">
        <v>389</v>
      </c>
      <c r="B21" s="4" t="s">
        <v>136</v>
      </c>
      <c r="C21" s="35">
        <f>IF(ISNUMBER(Wycena!C45),(SUMIFS(Składniki!$E$5:$E$155,Składniki!$D$5:$D$155,"jogurt",Składniki!$B$5:$B$155,"Poniedziałek"))*Wycena!C45,"")</f>
        <v>0.92</v>
      </c>
      <c r="D21" s="35">
        <f>IF(ISNUMBER(Wycena!C46),(SUMIFS(Składniki!$E$5:$E$155,Składniki!$D$5:$D$155,"jogurt",Składniki!$B$5:$B$155,"Wtorek"))*Wycena!C46,"")</f>
        <v>0</v>
      </c>
      <c r="E21" s="35">
        <f>IF(ISNUMBER(Wycena!C47),(SUMIFS(Składniki!$E$5:$E$155,Składniki!$D$5:$D$155,"jogurt",Składniki!$B$5:$B$155,"Środa"))*Wycena!C47,"")</f>
        <v>0</v>
      </c>
      <c r="F21" s="35">
        <f>IF(ISNUMBER(Wycena!C48),(SUMIFS(Składniki!$E$5:$E$155,Składniki!$D$5:$D$155,"jogurt",Składniki!$B$5:$B$155,"Czwartek"))*Wycena!C48,"")</f>
        <v>0</v>
      </c>
      <c r="G21" s="35">
        <f>IF(ISNUMBER(Wycena!C49),(SUMIFS(Składniki!$E$5:$E$155,Składniki!$D$5:$D$155,"jogurt",Składniki!$B$5:$B$155,"Piątek"))*Wycena!C49,"")</f>
        <v>0</v>
      </c>
      <c r="H21" s="35">
        <f>IF(COUNT(Wycena!$C$45:$C$49)=5,SUM(C21:G21),"")</f>
        <v>0.92</v>
      </c>
      <c r="I21" s="35">
        <f t="shared" si="0"/>
        <v>0</v>
      </c>
      <c r="J21" s="35">
        <f>IF(ISNUMBER(H21),ROUNDUP(ROUND((H21+I21)*1000,6),0)/1000,"")</f>
        <v>0.92</v>
      </c>
      <c r="K21" s="4" t="s">
        <v>136</v>
      </c>
      <c r="L21" s="4" t="s">
        <v>390</v>
      </c>
    </row>
    <row r="22" spans="1:12" ht="62" customHeight="1" x14ac:dyDescent="0.45">
      <c r="A22" s="48" t="s">
        <v>391</v>
      </c>
      <c r="B22" s="48" t="s">
        <v>136</v>
      </c>
      <c r="C22" s="49">
        <f>IF(ISNUMBER(Wycena!C45),(SUMIFS(Składniki!$E$5:$E$155,Składniki!$D$5:$D$155,"twaróg",Składniki!$B$5:$B$155,"Poniedziałek"))*Wycena!C45,"")</f>
        <v>0</v>
      </c>
      <c r="D22" s="49">
        <f>IF(ISNUMBER(Wycena!C46),(SUMIFS(Składniki!$E$5:$E$155,Składniki!$D$5:$D$155,"twaróg",Składniki!$B$5:$B$155,"Wtorek"))*Wycena!C46,"")</f>
        <v>0</v>
      </c>
      <c r="E22" s="49">
        <f>IF(ISNUMBER(Wycena!C47),(SUMIFS(Składniki!$E$5:$E$155,Składniki!$D$5:$D$155,"twaróg",Składniki!$B$5:$B$155,"Środa"))*Wycena!C47,"")</f>
        <v>0</v>
      </c>
      <c r="F22" s="49">
        <f>IF(ISNUMBER(Wycena!C48),(SUMIFS(Składniki!$E$5:$E$155,Składniki!$D$5:$D$155,"twaróg",Składniki!$B$5:$B$155,"Czwartek"))*Wycena!C48,"")</f>
        <v>0</v>
      </c>
      <c r="G22" s="49">
        <f>IF(ISNUMBER(Wycena!C49),(SUMIFS(Składniki!$E$5:$E$155,Składniki!$D$5:$D$155,"twaróg",Składniki!$B$5:$B$155,"Piątek"))*Wycena!C49,"")</f>
        <v>6.8999999999999995</v>
      </c>
      <c r="H22" s="49">
        <f>IF(COUNT(Wycena!$C$45:$C$49)=5,SUM(C22:G22),"")</f>
        <v>6.8999999999999995</v>
      </c>
      <c r="I22" s="49">
        <f t="shared" si="0"/>
        <v>0</v>
      </c>
      <c r="J22" s="49">
        <f>IF(ISNUMBER(H22),ROUNDUP(ROUND((H22+I22)*1000,6),0)/1000,"")</f>
        <v>6.9</v>
      </c>
      <c r="K22" s="48" t="s">
        <v>136</v>
      </c>
      <c r="L22" s="48" t="s">
        <v>392</v>
      </c>
    </row>
    <row r="23" spans="1:12" ht="62" customHeight="1" x14ac:dyDescent="0.45">
      <c r="A23" s="4" t="s">
        <v>393</v>
      </c>
      <c r="B23" s="4" t="s">
        <v>136</v>
      </c>
      <c r="C23" s="35">
        <f>IF(ISNUMBER(Wycena!C45),(SUMIFS(Składniki!$E$5:$E$155,Składniki!$D$5:$D$155,"serek",Składniki!$B$5:$B$155,"Poniedziałek"))*Wycena!C45,"")</f>
        <v>0</v>
      </c>
      <c r="D23" s="35">
        <f>IF(ISNUMBER(Wycena!C46),(SUMIFS(Składniki!$E$5:$E$155,Składniki!$D$5:$D$155,"serek",Składniki!$B$5:$B$155,"Wtorek"))*Wycena!C46,"")</f>
        <v>0</v>
      </c>
      <c r="E23" s="35">
        <f>IF(ISNUMBER(Wycena!C47),(SUMIFS(Składniki!$E$5:$E$155,Składniki!$D$5:$D$155,"serek",Składniki!$B$5:$B$155,"Środa"))*Wycena!C47,"")</f>
        <v>0</v>
      </c>
      <c r="F23" s="35">
        <f>IF(ISNUMBER(Wycena!C48),(SUMIFS(Składniki!$E$5:$E$155,Składniki!$D$5:$D$155,"serek",Składniki!$B$5:$B$155,"Czwartek"))*Wycena!C48,"")</f>
        <v>0</v>
      </c>
      <c r="G23" s="35">
        <f>IF(ISNUMBER(Wycena!C49),(SUMIFS(Składniki!$E$5:$E$155,Składniki!$D$5:$D$155,"serek",Składniki!$B$5:$B$155,"Piątek"))*Wycena!C49,"")</f>
        <v>4.6000000000000005</v>
      </c>
      <c r="H23" s="35">
        <f>IF(COUNT(Wycena!$C$45:$C$49)=5,SUM(C23:G23),"")</f>
        <v>4.6000000000000005</v>
      </c>
      <c r="I23" s="35">
        <f t="shared" si="0"/>
        <v>0</v>
      </c>
      <c r="J23" s="35">
        <f>IF(ISNUMBER(H23),ROUNDUP(ROUND((H23+I23)*1000,6),0)/1000,"")</f>
        <v>4.5999999999999996</v>
      </c>
      <c r="K23" s="4" t="s">
        <v>136</v>
      </c>
      <c r="L23" s="4" t="s">
        <v>394</v>
      </c>
    </row>
    <row r="24" spans="1:12" ht="62" customHeight="1" x14ac:dyDescent="0.45">
      <c r="A24" s="48" t="s">
        <v>395</v>
      </c>
      <c r="B24" s="48" t="s">
        <v>147</v>
      </c>
      <c r="C24" s="49">
        <f>IF(ISNUMBER(Wycena!C45),(SUMIFS(Składniki!$E$5:$E$155,Składniki!$D$5:$D$155,"śmietanka",Składniki!$B$5:$B$155,"Poniedziałek"))*Wycena!C45,"")</f>
        <v>0</v>
      </c>
      <c r="D24" s="49">
        <f>IF(ISNUMBER(Wycena!C46),(SUMIFS(Składniki!$E$5:$E$155,Składniki!$D$5:$D$155,"śmietanka",Składniki!$B$5:$B$155,"Wtorek"))*Wycena!C46,"")</f>
        <v>0</v>
      </c>
      <c r="E24" s="49">
        <f>IF(ISNUMBER(Wycena!C47),(SUMIFS(Składniki!$E$5:$E$155,Składniki!$D$5:$D$155,"śmietanka",Składniki!$B$5:$B$155,"Środa"))*Wycena!C47,"")</f>
        <v>1.7249999999999999</v>
      </c>
      <c r="F24" s="49">
        <f>IF(ISNUMBER(Wycena!C48),(SUMIFS(Składniki!$E$5:$E$155,Składniki!$D$5:$D$155,"śmietanka",Składniki!$B$5:$B$155,"Czwartek"))*Wycena!C48,"")</f>
        <v>0</v>
      </c>
      <c r="G24" s="49">
        <f>IF(ISNUMBER(Wycena!C49),(SUMIFS(Składniki!$E$5:$E$155,Składniki!$D$5:$D$155,"śmietanka",Składniki!$B$5:$B$155,"Piątek"))*Wycena!C49,"")</f>
        <v>0</v>
      </c>
      <c r="H24" s="49">
        <f>IF(COUNT(Wycena!$C$45:$C$49)=5,SUM(C24:G24),"")</f>
        <v>1.7249999999999999</v>
      </c>
      <c r="I24" s="49">
        <f t="shared" si="0"/>
        <v>0</v>
      </c>
      <c r="J24" s="49">
        <f>IF(ISNUMBER(H24),ROUNDUP(ROUND((H24+I24)*1000,6),0)/1000,"")</f>
        <v>1.7250000000000001</v>
      </c>
      <c r="K24" s="48" t="s">
        <v>147</v>
      </c>
      <c r="L24" s="48" t="s">
        <v>396</v>
      </c>
    </row>
    <row r="25" spans="1:12" ht="62" customHeight="1" x14ac:dyDescent="0.45">
      <c r="A25" s="4" t="s">
        <v>212</v>
      </c>
      <c r="B25" s="4" t="s">
        <v>147</v>
      </c>
      <c r="C25" s="35">
        <f>IF(ISNUMBER(Wycena!C45),(SUMIFS(Składniki!$E$5:$E$155,Składniki!$D$5:$D$155,"Vegetop",Składniki!$B$5:$B$155,"Poniedziałek")+SUMIFS(Składniki!$E$5:$E$155,Składniki!$D$5:$D$155,"Vegetop do pomidorowej",Składniki!$B$5:$B$155,"Poniedziałek"))*Wycena!C45,"")</f>
        <v>0</v>
      </c>
      <c r="D25" s="35">
        <f>IF(ISNUMBER(Wycena!C46),(SUMIFS(Składniki!$E$5:$E$155,Składniki!$D$5:$D$155,"Vegetop",Składniki!$B$5:$B$155,"Wtorek")+SUMIFS(Składniki!$E$5:$E$155,Składniki!$D$5:$D$155,"Vegetop do pomidorowej",Składniki!$B$5:$B$155,"Wtorek"))*Wycena!C46,"")</f>
        <v>0</v>
      </c>
      <c r="E25" s="35">
        <f>IF(ISNUMBER(Wycena!C47),(SUMIFS(Składniki!$E$5:$E$155,Składniki!$D$5:$D$155,"Vegetop",Składniki!$B$5:$B$155,"Środa")+SUMIFS(Składniki!$E$5:$E$155,Składniki!$D$5:$D$155,"Vegetop do pomidorowej",Składniki!$B$5:$B$155,"Środa"))*Wycena!C47,"")</f>
        <v>0</v>
      </c>
      <c r="F25" s="35">
        <f>IF(ISNUMBER(Wycena!C48),(SUMIFS(Składniki!$E$5:$E$155,Składniki!$D$5:$D$155,"Vegetop",Składniki!$B$5:$B$155,"Czwartek")+SUMIFS(Składniki!$E$5:$E$155,Składniki!$D$5:$D$155,"Vegetop do pomidorowej",Składniki!$B$5:$B$155,"Czwartek"))*Wycena!C48,"")</f>
        <v>2.5874999999999999</v>
      </c>
      <c r="G25" s="35">
        <f>IF(ISNUMBER(Wycena!C49),(SUMIFS(Składniki!$E$5:$E$155,Składniki!$D$5:$D$155,"Vegetop",Składniki!$B$5:$B$155,"Piątek")+SUMIFS(Składniki!$E$5:$E$155,Składniki!$D$5:$D$155,"Vegetop do pomidorowej",Składniki!$B$5:$B$155,"Piątek"))*Wycena!C49,"")</f>
        <v>2.5874999999999999</v>
      </c>
      <c r="H25" s="35">
        <f>IF(COUNT(Wycena!$C$45:$C$49)=5,SUM(C25:G25),"")</f>
        <v>5.1749999999999998</v>
      </c>
      <c r="I25" s="35">
        <f t="shared" si="0"/>
        <v>0</v>
      </c>
      <c r="J25" s="30">
        <f>IF(ISNUMBER(H25),ROUNDUP(ROUND((H25+I25)/10,9),0),"")</f>
        <v>1</v>
      </c>
      <c r="K25" s="4" t="s">
        <v>387</v>
      </c>
      <c r="L25" s="4" t="s">
        <v>397</v>
      </c>
    </row>
    <row r="26" spans="1:12" ht="62" customHeight="1" x14ac:dyDescent="0.45">
      <c r="A26" s="48" t="s">
        <v>398</v>
      </c>
      <c r="B26" s="48" t="s">
        <v>136</v>
      </c>
      <c r="C26" s="49">
        <f>IF(ISNUMBER(Wycena!C45),(SUMIFS(Składniki!$E$5:$E$155,Składniki!$D$5:$D$155,"dżem",Składniki!$B$5:$B$155,"Poniedziałek")+SUMIFS(Składniki!$E$5:$E$155,Składniki!$D$5:$D$155,"dżem do musu",Składniki!$B$5:$B$155,"Poniedziałek"))*Wycena!C45,"")</f>
        <v>3.0000000000000004</v>
      </c>
      <c r="D26" s="49">
        <f>IF(ISNUMBER(Wycena!C46),(SUMIFS(Składniki!$E$5:$E$155,Składniki!$D$5:$D$155,"dżem",Składniki!$B$5:$B$155,"Wtorek")+SUMIFS(Składniki!$E$5:$E$155,Składniki!$D$5:$D$155,"dżem do musu",Składniki!$B$5:$B$155,"Wtorek"))*Wycena!C46,"")</f>
        <v>0</v>
      </c>
      <c r="E26" s="49">
        <f>IF(ISNUMBER(Wycena!C47),(SUMIFS(Składniki!$E$5:$E$155,Składniki!$D$5:$D$155,"dżem",Składniki!$B$5:$B$155,"Środa")+SUMIFS(Składniki!$E$5:$E$155,Składniki!$D$5:$D$155,"dżem do musu",Składniki!$B$5:$B$155,"Środa"))*Wycena!C47,"")</f>
        <v>0.22499999999999998</v>
      </c>
      <c r="F26" s="49">
        <f>IF(ISNUMBER(Wycena!C48),(SUMIFS(Składniki!$E$5:$E$155,Składniki!$D$5:$D$155,"dżem",Składniki!$B$5:$B$155,"Czwartek")+SUMIFS(Składniki!$E$5:$E$155,Składniki!$D$5:$D$155,"dżem do musu",Składniki!$B$5:$B$155,"Czwartek"))*Wycena!C48,"")</f>
        <v>0</v>
      </c>
      <c r="G26" s="49">
        <f>IF(ISNUMBER(Wycena!C49),(SUMIFS(Składniki!$E$5:$E$155,Składniki!$D$5:$D$155,"dżem",Składniki!$B$5:$B$155,"Piątek")+SUMIFS(Składniki!$E$5:$E$155,Składniki!$D$5:$D$155,"dżem do musu",Składniki!$B$5:$B$155,"Piątek"))*Wycena!C49,"")</f>
        <v>0</v>
      </c>
      <c r="H26" s="49">
        <f>IF(COUNT(Wycena!$C$45:$C$49)=5,SUM(C26:G26),"")</f>
        <v>3.2250000000000005</v>
      </c>
      <c r="I26" s="49">
        <f t="shared" si="0"/>
        <v>0</v>
      </c>
      <c r="J26" s="50">
        <f>IF(ISNUMBER(H26),ROUNDUP(ROUND((H26+I26)/3.5,9),0),"")</f>
        <v>1</v>
      </c>
      <c r="K26" s="48" t="s">
        <v>399</v>
      </c>
      <c r="L26" s="48" t="s">
        <v>400</v>
      </c>
    </row>
    <row r="27" spans="1:12" ht="62" customHeight="1" x14ac:dyDescent="0.45">
      <c r="A27" s="4" t="s">
        <v>320</v>
      </c>
      <c r="B27" s="4" t="s">
        <v>136</v>
      </c>
      <c r="C27" s="35">
        <f>IF(ISNUMBER(Wycena!C45),(SUMIFS(Składniki!$E$5:$E$155,Składniki!$D$5:$D$155,"mąka",Składniki!$B$5:$B$155,"Poniedziałek"))*Wycena!C45,"")</f>
        <v>0.57500000000000007</v>
      </c>
      <c r="D27" s="35">
        <f>IF(ISNUMBER(Wycena!C46),(SUMIFS(Składniki!$E$5:$E$155,Składniki!$D$5:$D$155,"mąka",Składniki!$B$5:$B$155,"Wtorek"))*Wycena!C46,"")</f>
        <v>0</v>
      </c>
      <c r="E27" s="35">
        <f>IF(ISNUMBER(Wycena!C47),(SUMIFS(Składniki!$E$5:$E$155,Składniki!$D$5:$D$155,"mąka",Składniki!$B$5:$B$155,"Środa"))*Wycena!C47,"")</f>
        <v>0</v>
      </c>
      <c r="F27" s="35">
        <f>IF(ISNUMBER(Wycena!C48),(SUMIFS(Składniki!$E$5:$E$155,Składniki!$D$5:$D$155,"mąka",Składniki!$B$5:$B$155,"Czwartek"))*Wycena!C48,"")</f>
        <v>0</v>
      </c>
      <c r="G27" s="35">
        <f>IF(ISNUMBER(Wycena!C49),(SUMIFS(Składniki!$E$5:$E$155,Składniki!$D$5:$D$155,"mąka",Składniki!$B$5:$B$155,"Piątek"))*Wycena!C49,"")</f>
        <v>4.6000000000000005</v>
      </c>
      <c r="H27" s="35">
        <f>IF(COUNT(Wycena!$C$45:$C$49)=5,SUM(C27:G27),"")</f>
        <v>5.1750000000000007</v>
      </c>
      <c r="I27" s="35">
        <f t="shared" si="0"/>
        <v>0</v>
      </c>
      <c r="J27" s="35">
        <f>IF(ISNUMBER(H27),ROUNDUP(ROUND((H27+I27)*1000,6),0)/1000,"")</f>
        <v>5.1749999999999998</v>
      </c>
      <c r="K27" s="4" t="s">
        <v>136</v>
      </c>
      <c r="L27" s="4" t="s">
        <v>401</v>
      </c>
    </row>
    <row r="28" spans="1:12" ht="62" customHeight="1" x14ac:dyDescent="0.45">
      <c r="A28" s="48" t="s">
        <v>402</v>
      </c>
      <c r="B28" s="48" t="s">
        <v>136</v>
      </c>
      <c r="C28" s="49">
        <f>IF(ISNUMBER(Wycena!C45),(SUMIFS(Składniki!$E$5:$E$155,Składniki!$D$5:$D$155,"panierka",Składniki!$B$5:$B$155,"Poniedziałek"))*Wycena!C45,"")</f>
        <v>1.7249999999999999</v>
      </c>
      <c r="D28" s="49">
        <f>IF(ISNUMBER(Wycena!C46),(SUMIFS(Składniki!$E$5:$E$155,Składniki!$D$5:$D$155,"panierka",Składniki!$B$5:$B$155,"Wtorek"))*Wycena!C46,"")</f>
        <v>0</v>
      </c>
      <c r="E28" s="49">
        <f>IF(ISNUMBER(Wycena!C47),(SUMIFS(Składniki!$E$5:$E$155,Składniki!$D$5:$D$155,"panierka",Składniki!$B$5:$B$155,"Środa"))*Wycena!C47,"")</f>
        <v>0</v>
      </c>
      <c r="F28" s="49">
        <f>IF(ISNUMBER(Wycena!C48),(SUMIFS(Składniki!$E$5:$E$155,Składniki!$D$5:$D$155,"panierka",Składniki!$B$5:$B$155,"Czwartek"))*Wycena!C48,"")</f>
        <v>0</v>
      </c>
      <c r="G28" s="49">
        <f>IF(ISNUMBER(Wycena!C49),(SUMIFS(Składniki!$E$5:$E$155,Składniki!$D$5:$D$155,"panierka",Składniki!$B$5:$B$155,"Piątek"))*Wycena!C49,"")</f>
        <v>0</v>
      </c>
      <c r="H28" s="49">
        <f>IF(COUNT(Wycena!$C$45:$C$49)=5,SUM(C28:G28),"")</f>
        <v>1.7249999999999999</v>
      </c>
      <c r="I28" s="49">
        <f t="shared" si="0"/>
        <v>0</v>
      </c>
      <c r="J28" s="49">
        <f>IF(ISNUMBER(H28),ROUNDUP(ROUND((H28+I28)*1000,6),0)/1000,"")</f>
        <v>1.7250000000000001</v>
      </c>
      <c r="K28" s="48" t="s">
        <v>136</v>
      </c>
      <c r="L28" s="48" t="s">
        <v>403</v>
      </c>
    </row>
    <row r="29" spans="1:12" ht="62" customHeight="1" x14ac:dyDescent="0.45">
      <c r="A29" s="4" t="s">
        <v>404</v>
      </c>
      <c r="B29" s="4" t="s">
        <v>136</v>
      </c>
      <c r="C29" s="35">
        <f>IF(ISNUMBER(Wycena!C45),(SUMIFS(Składniki!$E$5:$E$155,Składniki!$D$5:$D$155,"ryż",Składniki!$B$5:$B$155,"Poniedziałek"))*Wycena!C45,"")</f>
        <v>4.6000000000000005</v>
      </c>
      <c r="D29" s="35">
        <f>IF(ISNUMBER(Wycena!C46),(SUMIFS(Składniki!$E$5:$E$155,Składniki!$D$5:$D$155,"ryż",Składniki!$B$5:$B$155,"Wtorek"))*Wycena!C46,"")</f>
        <v>1.3800000000000001</v>
      </c>
      <c r="E29" s="35">
        <f>IF(ISNUMBER(Wycena!C47),(SUMIFS(Składniki!$E$5:$E$155,Składniki!$D$5:$D$155,"ryż",Składniki!$B$5:$B$155,"Środa"))*Wycena!C47,"")</f>
        <v>0</v>
      </c>
      <c r="F29" s="35">
        <f>IF(ISNUMBER(Wycena!C48),(SUMIFS(Składniki!$E$5:$E$155,Składniki!$D$5:$D$155,"ryż",Składniki!$B$5:$B$155,"Czwartek"))*Wycena!C48,"")</f>
        <v>0</v>
      </c>
      <c r="G29" s="35">
        <f>IF(ISNUMBER(Wycena!C49),(SUMIFS(Składniki!$E$5:$E$155,Składniki!$D$5:$D$155,"ryż",Składniki!$B$5:$B$155,"Piątek"))*Wycena!C49,"")</f>
        <v>0</v>
      </c>
      <c r="H29" s="35">
        <f>IF(COUNT(Wycena!$C$45:$C$49)=5,SUM(C29:G29),"")</f>
        <v>5.98</v>
      </c>
      <c r="I29" s="35">
        <f t="shared" si="0"/>
        <v>0</v>
      </c>
      <c r="J29" s="30">
        <f>IF(ISNUMBER(H29),ROUNDUP(ROUND((H29+I29)/5,9),0),"")</f>
        <v>2</v>
      </c>
      <c r="K29" s="4" t="s">
        <v>405</v>
      </c>
      <c r="L29" s="4" t="s">
        <v>406</v>
      </c>
    </row>
    <row r="30" spans="1:12" ht="62" customHeight="1" x14ac:dyDescent="0.45">
      <c r="A30" s="48" t="s">
        <v>407</v>
      </c>
      <c r="B30" s="48" t="s">
        <v>136</v>
      </c>
      <c r="C30" s="49">
        <f>IF(ISNUMBER(Wycena!C45),(SUMIFS(Składniki!$E$5:$E$155,Składniki!$D$5:$D$155,"kasza",Składniki!$B$5:$B$155,"Poniedziałek"))*Wycena!C45,"")</f>
        <v>1.3800000000000001</v>
      </c>
      <c r="D30" s="49">
        <f>IF(ISNUMBER(Wycena!C46),(SUMIFS(Składniki!$E$5:$E$155,Składniki!$D$5:$D$155,"kasza",Składniki!$B$5:$B$155,"Wtorek"))*Wycena!C46,"")</f>
        <v>0</v>
      </c>
      <c r="E30" s="49">
        <f>IF(ISNUMBER(Wycena!C47),(SUMIFS(Składniki!$E$5:$E$155,Składniki!$D$5:$D$155,"kasza",Składniki!$B$5:$B$155,"Środa"))*Wycena!C47,"")</f>
        <v>0</v>
      </c>
      <c r="F30" s="49">
        <f>IF(ISNUMBER(Wycena!C48),(SUMIFS(Składniki!$E$5:$E$155,Składniki!$D$5:$D$155,"kasza",Składniki!$B$5:$B$155,"Czwartek"))*Wycena!C48,"")</f>
        <v>0</v>
      </c>
      <c r="G30" s="49">
        <f>IF(ISNUMBER(Wycena!C49),(SUMIFS(Składniki!$E$5:$E$155,Składniki!$D$5:$D$155,"kasza",Składniki!$B$5:$B$155,"Piątek"))*Wycena!C49,"")</f>
        <v>0</v>
      </c>
      <c r="H30" s="49">
        <f>IF(COUNT(Wycena!$C$45:$C$49)=5,SUM(C30:G30),"")</f>
        <v>1.3800000000000001</v>
      </c>
      <c r="I30" s="49">
        <f t="shared" si="0"/>
        <v>0</v>
      </c>
      <c r="J30" s="49">
        <f>IF(ISNUMBER(H30),ROUNDUP(ROUND((H30+I30)*1000,6),0)/1000,"")</f>
        <v>1.38</v>
      </c>
      <c r="K30" s="48" t="s">
        <v>136</v>
      </c>
      <c r="L30" s="48" t="s">
        <v>408</v>
      </c>
    </row>
    <row r="31" spans="1:12" ht="62" customHeight="1" x14ac:dyDescent="0.45">
      <c r="A31" s="4" t="s">
        <v>409</v>
      </c>
      <c r="B31" s="4" t="s">
        <v>136</v>
      </c>
      <c r="C31" s="35">
        <f>IF(ISNUMBER(Wycena!C45),(SUMIFS(Składniki!$E$5:$E$155,Składniki!$D$5:$D$155,"makaron",Składniki!$B$5:$B$155,"Poniedziałek"))*Wycena!C45,"")</f>
        <v>0</v>
      </c>
      <c r="D31" s="35">
        <f>IF(ISNUMBER(Wycena!C46),(SUMIFS(Składniki!$E$5:$E$155,Składniki!$D$5:$D$155,"makaron",Składniki!$B$5:$B$155,"Wtorek"))*Wycena!C46,"")</f>
        <v>5.5200000000000005</v>
      </c>
      <c r="E31" s="35">
        <f>IF(ISNUMBER(Wycena!C47),(SUMIFS(Składniki!$E$5:$E$155,Składniki!$D$5:$D$155,"makaron",Składniki!$B$5:$B$155,"Środa"))*Wycena!C47,"")</f>
        <v>4.6000000000000005</v>
      </c>
      <c r="F31" s="35">
        <f>IF(ISNUMBER(Wycena!C48),(SUMIFS(Składniki!$E$5:$E$155,Składniki!$D$5:$D$155,"makaron",Składniki!$B$5:$B$155,"Czwartek"))*Wycena!C48,"")</f>
        <v>0</v>
      </c>
      <c r="G31" s="35">
        <f>IF(ISNUMBER(Wycena!C49),(SUMIFS(Składniki!$E$5:$E$155,Składniki!$D$5:$D$155,"makaron",Składniki!$B$5:$B$155,"Piątek"))*Wycena!C49,"")</f>
        <v>4.6000000000000005</v>
      </c>
      <c r="H31" s="35">
        <f>IF(COUNT(Wycena!$C$45:$C$49)=5,SUM(C31:G31),"")</f>
        <v>14.720000000000002</v>
      </c>
      <c r="I31" s="35">
        <f t="shared" si="0"/>
        <v>0</v>
      </c>
      <c r="J31" s="35">
        <f>IF(ISNUMBER(H31),ROUNDUP(ROUND((H31+I31)*1000,6),0)/1000,"")</f>
        <v>14.72</v>
      </c>
      <c r="K31" s="4" t="s">
        <v>136</v>
      </c>
      <c r="L31" s="4" t="s">
        <v>410</v>
      </c>
    </row>
    <row r="32" spans="1:12" ht="62" customHeight="1" x14ac:dyDescent="0.45">
      <c r="A32" s="48" t="s">
        <v>411</v>
      </c>
      <c r="B32" s="48" t="s">
        <v>136</v>
      </c>
      <c r="C32" s="49">
        <f>IF(ISNUMBER(Wycena!C45),(SUMIFS(Składniki!$E$5:$E$155,Składniki!$D$5:$D$155,"płatki",Składniki!$B$5:$B$155,"Poniedziałek"))*Wycena!C45,"")</f>
        <v>0</v>
      </c>
      <c r="D32" s="49">
        <f>IF(ISNUMBER(Wycena!C46),(SUMIFS(Składniki!$E$5:$E$155,Składniki!$D$5:$D$155,"płatki",Składniki!$B$5:$B$155,"Wtorek"))*Wycena!C46,"")</f>
        <v>0</v>
      </c>
      <c r="E32" s="49">
        <f>IF(ISNUMBER(Wycena!C47),(SUMIFS(Składniki!$E$5:$E$155,Składniki!$D$5:$D$155,"płatki",Składniki!$B$5:$B$155,"Środa"))*Wycena!C47,"")</f>
        <v>0</v>
      </c>
      <c r="F32" s="49">
        <f>IF(ISNUMBER(Wycena!C48),(SUMIFS(Składniki!$E$5:$E$155,Składniki!$D$5:$D$155,"płatki",Składniki!$B$5:$B$155,"Czwartek"))*Wycena!C48,"")</f>
        <v>3.4499999999999997</v>
      </c>
      <c r="G32" s="49">
        <f>IF(ISNUMBER(Wycena!C49),(SUMIFS(Składniki!$E$5:$E$155,Składniki!$D$5:$D$155,"płatki",Składniki!$B$5:$B$155,"Piątek"))*Wycena!C49,"")</f>
        <v>0</v>
      </c>
      <c r="H32" s="49">
        <f>IF(COUNT(Wycena!$C$45:$C$49)=5,SUM(C32:G32),"")</f>
        <v>3.4499999999999997</v>
      </c>
      <c r="I32" s="49">
        <f t="shared" si="0"/>
        <v>0</v>
      </c>
      <c r="J32" s="49">
        <f>IF(ISNUMBER(H32),ROUNDUP(ROUND((H32+I32)*1000,6),0)/1000,"")</f>
        <v>3.45</v>
      </c>
      <c r="K32" s="48" t="s">
        <v>136</v>
      </c>
      <c r="L32" s="48" t="s">
        <v>412</v>
      </c>
    </row>
    <row r="33" spans="1:12" ht="62" customHeight="1" x14ac:dyDescent="0.45">
      <c r="A33" s="4" t="s">
        <v>413</v>
      </c>
      <c r="B33" s="4" t="s">
        <v>134</v>
      </c>
      <c r="C33" s="33">
        <f>IF(ISNUMBER(Wycena!C45),(SUMIFS(Składniki!$E$5:$E$155,Składniki!$D$5:$D$155,"placuszki kupowane",Składniki!$B$5:$B$155,"Poniedziałek"))*Wycena!C45,"")</f>
        <v>0</v>
      </c>
      <c r="D33" s="33">
        <f>IF(ISNUMBER(Wycena!C46),(SUMIFS(Składniki!$E$5:$E$155,Składniki!$D$5:$D$155,"placuszki kupowane",Składniki!$B$5:$B$155,"Wtorek"))*Wycena!C46,"")</f>
        <v>0</v>
      </c>
      <c r="E33" s="33">
        <f>IF(ISNUMBER(Wycena!C47),(SUMIFS(Składniki!$E$5:$E$155,Składniki!$D$5:$D$155,"placuszki kupowane",Składniki!$B$5:$B$155,"Środa"))*Wycena!C47,"")</f>
        <v>345</v>
      </c>
      <c r="F33" s="33">
        <f>IF(ISNUMBER(Wycena!C48),(SUMIFS(Składniki!$E$5:$E$155,Składniki!$D$5:$D$155,"placuszki kupowane",Składniki!$B$5:$B$155,"Czwartek"))*Wycena!C48,"")</f>
        <v>0</v>
      </c>
      <c r="G33" s="33">
        <f>IF(ISNUMBER(Wycena!C49),(SUMIFS(Składniki!$E$5:$E$155,Składniki!$D$5:$D$155,"placuszki kupowane",Składniki!$B$5:$B$155,"Piątek"))*Wycena!C49,"")</f>
        <v>0</v>
      </c>
      <c r="H33" s="33">
        <f>IF(COUNT(Wycena!$C$45:$C$49)=5,SUM(C33:G33),"")</f>
        <v>345</v>
      </c>
      <c r="I33" s="33">
        <f t="shared" si="0"/>
        <v>0</v>
      </c>
      <c r="J33" s="30">
        <f>IF(ISNUMBER(H33),ROUNDUP(ROUND((H33+I33)/100,9),0),"")</f>
        <v>4</v>
      </c>
      <c r="K33" s="4" t="s">
        <v>414</v>
      </c>
      <c r="L33" s="4" t="s">
        <v>415</v>
      </c>
    </row>
    <row r="34" spans="1:12" ht="62" customHeight="1" x14ac:dyDescent="0.45">
      <c r="A34" s="48" t="s">
        <v>416</v>
      </c>
      <c r="B34" s="48" t="s">
        <v>136</v>
      </c>
      <c r="C34" s="49">
        <f>IF(ISNUMBER(Wycena!C45),(SUMIFS(Składniki!$E$5:$E$155,Składniki!$D$5:$D$155,"ciasto drożdżowe",Składniki!$B$5:$B$155,"Poniedziałek"))*Wycena!C45,"")</f>
        <v>0</v>
      </c>
      <c r="D34" s="49">
        <f>IF(ISNUMBER(Wycena!C46),(SUMIFS(Składniki!$E$5:$E$155,Składniki!$D$5:$D$155,"ciasto drożdżowe",Składniki!$B$5:$B$155,"Wtorek"))*Wycena!C46,"")</f>
        <v>0</v>
      </c>
      <c r="E34" s="49">
        <f>IF(ISNUMBER(Wycena!C47),(SUMIFS(Składniki!$E$5:$E$155,Składniki!$D$5:$D$155,"ciasto drożdżowe",Składniki!$B$5:$B$155,"Środa"))*Wycena!C47,"")</f>
        <v>13.799999999999999</v>
      </c>
      <c r="F34" s="49">
        <f>IF(ISNUMBER(Wycena!C48),(SUMIFS(Składniki!$E$5:$E$155,Składniki!$D$5:$D$155,"ciasto drożdżowe",Składniki!$B$5:$B$155,"Czwartek"))*Wycena!C48,"")</f>
        <v>0</v>
      </c>
      <c r="G34" s="49">
        <f>IF(ISNUMBER(Wycena!C49),(SUMIFS(Składniki!$E$5:$E$155,Składniki!$D$5:$D$155,"ciasto drożdżowe",Składniki!$B$5:$B$155,"Piątek"))*Wycena!C49,"")</f>
        <v>0</v>
      </c>
      <c r="H34" s="49">
        <f>IF(COUNT(Wycena!$C$45:$C$49)=5,SUM(C34:G34),"")</f>
        <v>13.799999999999999</v>
      </c>
      <c r="I34" s="49">
        <f t="shared" si="0"/>
        <v>0</v>
      </c>
      <c r="J34" s="50">
        <f>IF(ISNUMBER(H34),ROUNDUP(ROUND((H34+I34)/9,9),0),"")</f>
        <v>2</v>
      </c>
      <c r="K34" s="48" t="s">
        <v>417</v>
      </c>
      <c r="L34" s="48" t="s">
        <v>418</v>
      </c>
    </row>
    <row r="35" spans="1:12" ht="62" customHeight="1" x14ac:dyDescent="0.45">
      <c r="A35" s="4" t="s">
        <v>419</v>
      </c>
      <c r="B35" s="4" t="s">
        <v>136</v>
      </c>
      <c r="C35" s="35">
        <f>IF(ISNUMBER(Wycena!C45),(SUMIFS(Składniki!$E$5:$E$155,Składniki!$D$5:$D$155,"herbatniki",Składniki!$B$5:$B$155,"Poniedziałek"))*Wycena!C45,"")</f>
        <v>1.61</v>
      </c>
      <c r="D35" s="35">
        <f>IF(ISNUMBER(Wycena!C46),(SUMIFS(Składniki!$E$5:$E$155,Składniki!$D$5:$D$155,"herbatniki",Składniki!$B$5:$B$155,"Wtorek"))*Wycena!C46,"")</f>
        <v>0</v>
      </c>
      <c r="E35" s="35">
        <f>IF(ISNUMBER(Wycena!C47),(SUMIFS(Składniki!$E$5:$E$155,Składniki!$D$5:$D$155,"herbatniki",Składniki!$B$5:$B$155,"Środa"))*Wycena!C47,"")</f>
        <v>0</v>
      </c>
      <c r="F35" s="35">
        <f>IF(ISNUMBER(Wycena!C48),(SUMIFS(Składniki!$E$5:$E$155,Składniki!$D$5:$D$155,"herbatniki",Składniki!$B$5:$B$155,"Czwartek"))*Wycena!C48,"")</f>
        <v>0</v>
      </c>
      <c r="G35" s="35">
        <f>IF(ISNUMBER(Wycena!C49),(SUMIFS(Składniki!$E$5:$E$155,Składniki!$D$5:$D$155,"herbatniki",Składniki!$B$5:$B$155,"Piątek"))*Wycena!C49,"")</f>
        <v>0</v>
      </c>
      <c r="H35" s="35">
        <f>IF(COUNT(Wycena!$C$45:$C$49)=5,SUM(C35:G35),"")</f>
        <v>1.61</v>
      </c>
      <c r="I35" s="35">
        <f t="shared" si="0"/>
        <v>0</v>
      </c>
      <c r="J35" s="30">
        <f>IF(ISNUMBER(H35),ROUNDUP(ROUND((H35+I35)/0.007,9),0),"")</f>
        <v>230</v>
      </c>
      <c r="K35" s="4" t="s">
        <v>420</v>
      </c>
      <c r="L35" s="4" t="s">
        <v>421</v>
      </c>
    </row>
    <row r="36" spans="1:12" ht="62" customHeight="1" x14ac:dyDescent="0.45">
      <c r="A36" s="48" t="s">
        <v>422</v>
      </c>
      <c r="B36" s="48" t="s">
        <v>136</v>
      </c>
      <c r="C36" s="49">
        <f>IF(ISNUMBER(Wycena!C45),(SUMIFS(Składniki!$E$5:$E$155,Składniki!$D$5:$D$155,"budyń",Składniki!$B$5:$B$155,"Poniedziałek"))*Wycena!C45,"")</f>
        <v>0</v>
      </c>
      <c r="D36" s="49">
        <f>IF(ISNUMBER(Wycena!C46),(SUMIFS(Składniki!$E$5:$E$155,Składniki!$D$5:$D$155,"budyń",Składniki!$B$5:$B$155,"Wtorek"))*Wycena!C46,"")</f>
        <v>1.3800000000000001</v>
      </c>
      <c r="E36" s="49">
        <f>IF(ISNUMBER(Wycena!C47),(SUMIFS(Składniki!$E$5:$E$155,Składniki!$D$5:$D$155,"budyń",Składniki!$B$5:$B$155,"Środa"))*Wycena!C47,"")</f>
        <v>0</v>
      </c>
      <c r="F36" s="49">
        <f>IF(ISNUMBER(Wycena!C48),(SUMIFS(Składniki!$E$5:$E$155,Składniki!$D$5:$D$155,"budyń",Składniki!$B$5:$B$155,"Czwartek"))*Wycena!C48,"")</f>
        <v>0</v>
      </c>
      <c r="G36" s="49">
        <f>IF(ISNUMBER(Wycena!C49),(SUMIFS(Składniki!$E$5:$E$155,Składniki!$D$5:$D$155,"budyń",Składniki!$B$5:$B$155,"Piątek"))*Wycena!C49,"")</f>
        <v>0</v>
      </c>
      <c r="H36" s="49">
        <f>IF(COUNT(Wycena!$C$45:$C$49)=5,SUM(C36:G36),"")</f>
        <v>1.3800000000000001</v>
      </c>
      <c r="I36" s="49">
        <f t="shared" si="0"/>
        <v>0</v>
      </c>
      <c r="J36" s="49">
        <f>IF(ISNUMBER(H36),ROUNDUP(ROUND((H36+I36)*1000,6),0)/1000,"")</f>
        <v>1.38</v>
      </c>
      <c r="K36" s="48" t="s">
        <v>136</v>
      </c>
      <c r="L36" s="48" t="s">
        <v>423</v>
      </c>
    </row>
    <row r="37" spans="1:12" ht="62" customHeight="1" x14ac:dyDescent="0.45">
      <c r="A37" s="4" t="s">
        <v>424</v>
      </c>
      <c r="B37" s="4" t="s">
        <v>136</v>
      </c>
      <c r="C37" s="35">
        <f>IF(ISNUMBER(Wycena!C45),(SUMIFS(Składniki!$E$5:$E$155,Składniki!$D$5:$D$155,"galaretka",Składniki!$B$5:$B$155,"Poniedziałek"))*Wycena!C45,"")</f>
        <v>0</v>
      </c>
      <c r="D37" s="35">
        <f>IF(ISNUMBER(Wycena!C46),(SUMIFS(Składniki!$E$5:$E$155,Składniki!$D$5:$D$155,"galaretka",Składniki!$B$5:$B$155,"Wtorek"))*Wycena!C46,"")</f>
        <v>0</v>
      </c>
      <c r="E37" s="35">
        <f>IF(ISNUMBER(Wycena!C47),(SUMIFS(Składniki!$E$5:$E$155,Składniki!$D$5:$D$155,"galaretka",Składniki!$B$5:$B$155,"Środa"))*Wycena!C47,"")</f>
        <v>0</v>
      </c>
      <c r="F37" s="35">
        <f>IF(ISNUMBER(Wycena!C48),(SUMIFS(Składniki!$E$5:$E$155,Składniki!$D$5:$D$155,"galaretka",Składniki!$B$5:$B$155,"Czwartek"))*Wycena!C48,"")</f>
        <v>4.6000000000000005</v>
      </c>
      <c r="G37" s="35">
        <f>IF(ISNUMBER(Wycena!C49),(SUMIFS(Składniki!$E$5:$E$155,Składniki!$D$5:$D$155,"galaretka",Składniki!$B$5:$B$155,"Piątek"))*Wycena!C49,"")</f>
        <v>0</v>
      </c>
      <c r="H37" s="35">
        <f>IF(COUNT(Wycena!$C$45:$C$49)=5,SUM(C37:G37),"")</f>
        <v>4.6000000000000005</v>
      </c>
      <c r="I37" s="35">
        <f t="shared" si="0"/>
        <v>0</v>
      </c>
      <c r="J37" s="30">
        <f>IF(ISNUMBER(H37),ROUNDUP(ROUND((H37+I37)/1,9),0),"")</f>
        <v>5</v>
      </c>
      <c r="K37" s="4" t="s">
        <v>425</v>
      </c>
      <c r="L37" s="4" t="s">
        <v>426</v>
      </c>
    </row>
    <row r="38" spans="1:12" ht="62" customHeight="1" x14ac:dyDescent="0.45">
      <c r="A38" s="48" t="s">
        <v>427</v>
      </c>
      <c r="B38" s="48" t="s">
        <v>136</v>
      </c>
      <c r="C38" s="49">
        <f>IF(ISNUMBER(Wycena!C45),(SUMIFS(Składniki!$E$5:$E$155,Składniki!$D$5:$D$155,"cukier",Składniki!$B$5:$B$155,"Poniedziałek"))*Wycena!C45,"")</f>
        <v>0</v>
      </c>
      <c r="D38" s="49">
        <f>IF(ISNUMBER(Wycena!C46),(SUMIFS(Składniki!$E$5:$E$155,Składniki!$D$5:$D$155,"cukier",Składniki!$B$5:$B$155,"Wtorek"))*Wycena!C46,"")</f>
        <v>0.92</v>
      </c>
      <c r="E38" s="49">
        <f>IF(ISNUMBER(Wycena!C47),(SUMIFS(Składniki!$E$5:$E$155,Składniki!$D$5:$D$155,"cukier",Składniki!$B$5:$B$155,"Środa"))*Wycena!C47,"")</f>
        <v>0</v>
      </c>
      <c r="F38" s="49">
        <f>IF(ISNUMBER(Wycena!C48),(SUMIFS(Składniki!$E$5:$E$155,Składniki!$D$5:$D$155,"cukier",Składniki!$B$5:$B$155,"Czwartek"))*Wycena!C48,"")</f>
        <v>0</v>
      </c>
      <c r="G38" s="49">
        <f>IF(ISNUMBER(Wycena!C49),(SUMIFS(Składniki!$E$5:$E$155,Składniki!$D$5:$D$155,"cukier",Składniki!$B$5:$B$155,"Piątek"))*Wycena!C49,"")</f>
        <v>0.46</v>
      </c>
      <c r="H38" s="49">
        <f>IF(COUNT(Wycena!$C$45:$C$49)=5,SUM(C38:G38),"")</f>
        <v>1.3800000000000001</v>
      </c>
      <c r="I38" s="49">
        <f t="shared" si="0"/>
        <v>0</v>
      </c>
      <c r="J38" s="49">
        <f>IF(ISNUMBER(H38),ROUNDUP(ROUND((H38+I38)*1000,6),0)/1000,"")</f>
        <v>1.38</v>
      </c>
      <c r="K38" s="48" t="s">
        <v>136</v>
      </c>
      <c r="L38" s="48" t="s">
        <v>428</v>
      </c>
    </row>
    <row r="39" spans="1:12" ht="62" customHeight="1" x14ac:dyDescent="0.45">
      <c r="A39" s="4" t="s">
        <v>215</v>
      </c>
      <c r="B39" s="4" t="s">
        <v>147</v>
      </c>
      <c r="C39" s="35">
        <f>IF(ISNUMBER(Wycena!C45),(SUMIFS(Składniki!$E$5:$E$155,Składniki!$D$5:$D$155,"olej",Składniki!$B$5:$B$155,"Poniedziałek"))*Wycena!C45,"")</f>
        <v>1.2649999999999999</v>
      </c>
      <c r="D39" s="35">
        <f>IF(ISNUMBER(Wycena!C46),(SUMIFS(Składniki!$E$5:$E$155,Składniki!$D$5:$D$155,"olej",Składniki!$B$5:$B$155,"Wtorek"))*Wycena!C46,"")</f>
        <v>0.57500000000000007</v>
      </c>
      <c r="E39" s="35">
        <f>IF(ISNUMBER(Wycena!C47),(SUMIFS(Składniki!$E$5:$E$155,Składniki!$D$5:$D$155,"olej",Składniki!$B$5:$B$155,"Środa"))*Wycena!C47,"")</f>
        <v>0.92</v>
      </c>
      <c r="F39" s="35">
        <f>IF(ISNUMBER(Wycena!C48),(SUMIFS(Składniki!$E$5:$E$155,Składniki!$D$5:$D$155,"olej",Składniki!$B$5:$B$155,"Czwartek"))*Wycena!C48,"")</f>
        <v>1.2649999999999999</v>
      </c>
      <c r="G39" s="35">
        <f>IF(ISNUMBER(Wycena!C49),(SUMIFS(Składniki!$E$5:$E$155,Składniki!$D$5:$D$155,"olej",Składniki!$B$5:$B$155,"Piątek"))*Wycena!C49,"")</f>
        <v>0.69000000000000006</v>
      </c>
      <c r="H39" s="35">
        <f>IF(COUNT(Wycena!$C$45:$C$49)=5,SUM(C39:G39),"")</f>
        <v>4.7149999999999999</v>
      </c>
      <c r="I39" s="35">
        <f t="shared" ref="I39:I70" si="1">IF(ISNUMBER(H39),H39*$B$4,"")</f>
        <v>0</v>
      </c>
      <c r="J39" s="35">
        <f>IF(ISNUMBER(H39),ROUNDUP(ROUND((H39+I39)*1000,6),0)/1000,"")</f>
        <v>4.7149999999999999</v>
      </c>
      <c r="K39" s="4" t="s">
        <v>147</v>
      </c>
      <c r="L39" s="4" t="s">
        <v>429</v>
      </c>
    </row>
    <row r="40" spans="1:12" ht="62" customHeight="1" x14ac:dyDescent="0.45">
      <c r="A40" s="48" t="s">
        <v>430</v>
      </c>
      <c r="B40" s="48" t="s">
        <v>136</v>
      </c>
      <c r="C40" s="49">
        <f>IF(ISNUMBER(Wycena!C45),(SUMIFS(Składniki!$E$5:$E$155,Składniki!$D$5:$D$155,"koncentrat",Składniki!$B$5:$B$155,"Poniedziałek"))*Wycena!C45,"")</f>
        <v>0</v>
      </c>
      <c r="D40" s="49">
        <f>IF(ISNUMBER(Wycena!C46),(SUMIFS(Składniki!$E$5:$E$155,Składniki!$D$5:$D$155,"koncentrat",Składniki!$B$5:$B$155,"Wtorek"))*Wycena!C46,"")</f>
        <v>1.1500000000000001</v>
      </c>
      <c r="E40" s="49">
        <f>IF(ISNUMBER(Wycena!C47),(SUMIFS(Składniki!$E$5:$E$155,Składniki!$D$5:$D$155,"koncentrat",Składniki!$B$5:$B$155,"Środa"))*Wycena!C47,"")</f>
        <v>0</v>
      </c>
      <c r="F40" s="49">
        <f>IF(ISNUMBER(Wycena!C48),(SUMIFS(Składniki!$E$5:$E$155,Składniki!$D$5:$D$155,"koncentrat",Składniki!$B$5:$B$155,"Czwartek"))*Wycena!C48,"")</f>
        <v>0</v>
      </c>
      <c r="G40" s="49">
        <f>IF(ISNUMBER(Wycena!C49),(SUMIFS(Składniki!$E$5:$E$155,Składniki!$D$5:$D$155,"koncentrat",Składniki!$B$5:$B$155,"Piątek"))*Wycena!C49,"")</f>
        <v>2.875</v>
      </c>
      <c r="H40" s="49">
        <f>IF(COUNT(Wycena!$C$45:$C$49)=5,SUM(C40:G40),"")</f>
        <v>4.0250000000000004</v>
      </c>
      <c r="I40" s="49">
        <f t="shared" si="1"/>
        <v>0</v>
      </c>
      <c r="J40" s="49">
        <f>IF(ISNUMBER(H40),ROUNDUP(ROUND((H40+I40)*1000,6),0)/1000,"")</f>
        <v>4.0250000000000004</v>
      </c>
      <c r="K40" s="48" t="s">
        <v>136</v>
      </c>
      <c r="L40" s="48" t="s">
        <v>431</v>
      </c>
    </row>
    <row r="41" spans="1:12" ht="62" customHeight="1" x14ac:dyDescent="0.45">
      <c r="A41" s="4" t="s">
        <v>432</v>
      </c>
      <c r="B41" s="4" t="s">
        <v>136</v>
      </c>
      <c r="C41" s="35">
        <f>IF(ISNUMBER(Wycena!C45),(SUMIFS(Składniki!$E$5:$E$155,Składniki!$D$5:$D$155,"ketchup",Składniki!$B$5:$B$155,"Poniedziałek"))*Wycena!C45,"")</f>
        <v>0</v>
      </c>
      <c r="D41" s="35">
        <f>IF(ISNUMBER(Wycena!C46),(SUMIFS(Składniki!$E$5:$E$155,Składniki!$D$5:$D$155,"ketchup",Składniki!$B$5:$B$155,"Wtorek"))*Wycena!C46,"")</f>
        <v>1.1500000000000001</v>
      </c>
      <c r="E41" s="35">
        <f>IF(ISNUMBER(Wycena!C47),(SUMIFS(Składniki!$E$5:$E$155,Składniki!$D$5:$D$155,"ketchup",Składniki!$B$5:$B$155,"Środa"))*Wycena!C47,"")</f>
        <v>0</v>
      </c>
      <c r="F41" s="35">
        <f>IF(ISNUMBER(Wycena!C48),(SUMIFS(Składniki!$E$5:$E$155,Składniki!$D$5:$D$155,"ketchup",Składniki!$B$5:$B$155,"Czwartek"))*Wycena!C48,"")</f>
        <v>0</v>
      </c>
      <c r="G41" s="35">
        <f>IF(ISNUMBER(Wycena!C49),(SUMIFS(Składniki!$E$5:$E$155,Składniki!$D$5:$D$155,"ketchup",Składniki!$B$5:$B$155,"Piątek"))*Wycena!C49,"")</f>
        <v>0</v>
      </c>
      <c r="H41" s="35">
        <f>IF(COUNT(Wycena!$C$45:$C$49)=5,SUM(C41:G41),"")</f>
        <v>1.1500000000000001</v>
      </c>
      <c r="I41" s="35">
        <f t="shared" si="1"/>
        <v>0</v>
      </c>
      <c r="J41" s="35">
        <f>IF(ISNUMBER(H41),ROUNDUP(ROUND((H41+I41)*1000,6),0)/1000,"")</f>
        <v>1.1499999999999999</v>
      </c>
      <c r="K41" s="4" t="s">
        <v>136</v>
      </c>
      <c r="L41" s="4" t="s">
        <v>433</v>
      </c>
    </row>
    <row r="42" spans="1:12" ht="62" customHeight="1" x14ac:dyDescent="0.45">
      <c r="A42" s="48" t="s">
        <v>434</v>
      </c>
      <c r="B42" s="48" t="s">
        <v>136</v>
      </c>
      <c r="C42" s="49">
        <f>IF(ISNUMBER(Wycena!C45),(SUMIFS(Składniki!$E$5:$E$155,Składniki!$D$5:$D$155,"ziemniaki",Składniki!$B$5:$B$155,"Poniedziałek"))*Wycena!C45,"")</f>
        <v>9.2000000000000011</v>
      </c>
      <c r="D42" s="49">
        <f>IF(ISNUMBER(Wycena!C46),(SUMIFS(Składniki!$E$5:$E$155,Składniki!$D$5:$D$155,"ziemniaki",Składniki!$B$5:$B$155,"Wtorek"))*Wycena!C46,"")</f>
        <v>0</v>
      </c>
      <c r="E42" s="49">
        <f>IF(ISNUMBER(Wycena!C47),(SUMIFS(Składniki!$E$5:$E$155,Składniki!$D$5:$D$155,"ziemniaki",Składniki!$B$5:$B$155,"Środa"))*Wycena!C47,"")</f>
        <v>13.799999999999999</v>
      </c>
      <c r="F42" s="49">
        <f>IF(ISNUMBER(Wycena!C48),(SUMIFS(Składniki!$E$5:$E$155,Składniki!$D$5:$D$155,"ziemniaki",Składniki!$B$5:$B$155,"Czwartek"))*Wycena!C48,"")</f>
        <v>23</v>
      </c>
      <c r="G42" s="49">
        <f>IF(ISNUMBER(Wycena!C49),(SUMIFS(Składniki!$E$5:$E$155,Składniki!$D$5:$D$155,"ziemniaki",Składniki!$B$5:$B$155,"Piątek"))*Wycena!C49,"")</f>
        <v>0</v>
      </c>
      <c r="H42" s="49">
        <f>IF(COUNT(Wycena!$C$45:$C$49)=5,SUM(C42:G42),"")</f>
        <v>46</v>
      </c>
      <c r="I42" s="49">
        <f t="shared" si="1"/>
        <v>0</v>
      </c>
      <c r="J42" s="50">
        <f>IF(ISNUMBER(H42),ROUNDUP(ROUND((H42+I42)/5,9),0),"")</f>
        <v>10</v>
      </c>
      <c r="K42" s="48" t="s">
        <v>435</v>
      </c>
      <c r="L42" s="48" t="s">
        <v>436</v>
      </c>
    </row>
    <row r="43" spans="1:12" ht="62" customHeight="1" x14ac:dyDescent="0.45">
      <c r="A43" s="4" t="s">
        <v>437</v>
      </c>
      <c r="B43" s="4" t="s">
        <v>136</v>
      </c>
      <c r="C43" s="35">
        <f>IF(ISNUMBER(Wycena!C45),(SUMIFS(Składniki!$E$5:$E$155,Składniki!$D$5:$D$155,"mrożonka barszcz ukraiński",Składniki!$B$5:$B$155,"Poniedziałek"))*Wycena!C45,"")</f>
        <v>0</v>
      </c>
      <c r="D43" s="35">
        <f>IF(ISNUMBER(Wycena!C46),(SUMIFS(Składniki!$E$5:$E$155,Składniki!$D$5:$D$155,"mrożonka barszcz ukraiński",Składniki!$B$5:$B$155,"Wtorek"))*Wycena!C46,"")</f>
        <v>0</v>
      </c>
      <c r="E43" s="35">
        <f>IF(ISNUMBER(Wycena!C47),(SUMIFS(Składniki!$E$5:$E$155,Składniki!$D$5:$D$155,"mrożonka barszcz ukraiński",Składniki!$B$5:$B$155,"Środa"))*Wycena!C47,"")</f>
        <v>0</v>
      </c>
      <c r="F43" s="35">
        <f>IF(ISNUMBER(Wycena!C48),(SUMIFS(Składniki!$E$5:$E$155,Składniki!$D$5:$D$155,"mrożonka barszcz ukraiński",Składniki!$B$5:$B$155,"Czwartek"))*Wycena!C48,"")</f>
        <v>8.625</v>
      </c>
      <c r="G43" s="35">
        <f>IF(ISNUMBER(Wycena!C49),(SUMIFS(Składniki!$E$5:$E$155,Składniki!$D$5:$D$155,"mrożonka barszcz ukraiński",Składniki!$B$5:$B$155,"Piątek"))*Wycena!C49,"")</f>
        <v>0</v>
      </c>
      <c r="H43" s="35">
        <f>IF(COUNT(Wycena!$C$45:$C$49)=5,SUM(C43:G43),"")</f>
        <v>8.625</v>
      </c>
      <c r="I43" s="35">
        <f t="shared" si="1"/>
        <v>0</v>
      </c>
      <c r="J43" s="30">
        <f>IF(ISNUMBER(H43),ROUNDUP(ROUND((H43+I43)/2.5,9),0),"")</f>
        <v>4</v>
      </c>
      <c r="K43" s="4" t="s">
        <v>438</v>
      </c>
      <c r="L43" s="4" t="s">
        <v>439</v>
      </c>
    </row>
    <row r="44" spans="1:12" ht="62" customHeight="1" x14ac:dyDescent="0.45">
      <c r="A44" s="48" t="s">
        <v>440</v>
      </c>
      <c r="B44" s="48" t="s">
        <v>136</v>
      </c>
      <c r="C44" s="49">
        <f>IF(ISNUMBER(Wycena!C45),(SUMIFS(Składniki!$E$5:$E$155,Składniki!$D$5:$D$155,"surówka wiosenna kupowana",Składniki!$B$5:$B$155,"Poniedziałek"))*Wycena!C45,"")</f>
        <v>0</v>
      </c>
      <c r="D44" s="49">
        <f>IF(ISNUMBER(Wycena!C46),(SUMIFS(Składniki!$E$5:$E$155,Składniki!$D$5:$D$155,"surówka wiosenna kupowana",Składniki!$B$5:$B$155,"Wtorek"))*Wycena!C46,"")</f>
        <v>0</v>
      </c>
      <c r="E44" s="49">
        <f>IF(ISNUMBER(Wycena!C47),(SUMIFS(Składniki!$E$5:$E$155,Składniki!$D$5:$D$155,"surówka wiosenna kupowana",Składniki!$B$5:$B$155,"Środa"))*Wycena!C47,"")</f>
        <v>0</v>
      </c>
      <c r="F44" s="49">
        <f>IF(ISNUMBER(Wycena!C48),(SUMIFS(Składniki!$E$5:$E$155,Składniki!$D$5:$D$155,"surówka wiosenna kupowana",Składniki!$B$5:$B$155,"Czwartek"))*Wycena!C48,"")</f>
        <v>4.6000000000000005</v>
      </c>
      <c r="G44" s="49">
        <f>IF(ISNUMBER(Wycena!C49),(SUMIFS(Składniki!$E$5:$E$155,Składniki!$D$5:$D$155,"surówka wiosenna kupowana",Składniki!$B$5:$B$155,"Piątek"))*Wycena!C49,"")</f>
        <v>0</v>
      </c>
      <c r="H44" s="49">
        <f>IF(COUNT(Wycena!$C$45:$C$49)=5,SUM(C44:G44),"")</f>
        <v>4.6000000000000005</v>
      </c>
      <c r="I44" s="49">
        <f t="shared" si="1"/>
        <v>0</v>
      </c>
      <c r="J44" s="49">
        <f t="shared" ref="J44:J53" si="2">IF(ISNUMBER(H44),ROUNDUP(ROUND((H44+I44)*1000,6),0)/1000,"")</f>
        <v>4.5999999999999996</v>
      </c>
      <c r="K44" s="48" t="s">
        <v>136</v>
      </c>
      <c r="L44" s="48" t="s">
        <v>441</v>
      </c>
    </row>
    <row r="45" spans="1:12" ht="62" customHeight="1" x14ac:dyDescent="0.45">
      <c r="A45" s="4" t="s">
        <v>442</v>
      </c>
      <c r="B45" s="4" t="s">
        <v>136</v>
      </c>
      <c r="C45" s="35">
        <f>IF(ISNUMBER(Wycena!C45),(SUMIFS(Składniki!$E$5:$E$155,Składniki!$D$5:$D$155,"brokuły",Składniki!$B$5:$B$155,"Poniedziałek"))*Wycena!C45,"")</f>
        <v>0</v>
      </c>
      <c r="D45" s="35">
        <f>IF(ISNUMBER(Wycena!C46),(SUMIFS(Składniki!$E$5:$E$155,Składniki!$D$5:$D$155,"brokuły",Składniki!$B$5:$B$155,"Wtorek"))*Wycena!C46,"")</f>
        <v>0</v>
      </c>
      <c r="E45" s="35">
        <f>IF(ISNUMBER(Wycena!C47),(SUMIFS(Składniki!$E$5:$E$155,Składniki!$D$5:$D$155,"brokuły",Składniki!$B$5:$B$155,"Środa"))*Wycena!C47,"")</f>
        <v>5.75</v>
      </c>
      <c r="F45" s="35">
        <f>IF(ISNUMBER(Wycena!C48),(SUMIFS(Składniki!$E$5:$E$155,Składniki!$D$5:$D$155,"brokuły",Składniki!$B$5:$B$155,"Czwartek"))*Wycena!C48,"")</f>
        <v>0</v>
      </c>
      <c r="G45" s="35">
        <f>IF(ISNUMBER(Wycena!C49),(SUMIFS(Składniki!$E$5:$E$155,Składniki!$D$5:$D$155,"brokuły",Składniki!$B$5:$B$155,"Piątek"))*Wycena!C49,"")</f>
        <v>0</v>
      </c>
      <c r="H45" s="35">
        <f>IF(COUNT(Wycena!$C$45:$C$49)=5,SUM(C45:G45),"")</f>
        <v>5.75</v>
      </c>
      <c r="I45" s="35">
        <f t="shared" si="1"/>
        <v>0</v>
      </c>
      <c r="J45" s="35">
        <f t="shared" si="2"/>
        <v>5.75</v>
      </c>
      <c r="K45" s="4" t="s">
        <v>136</v>
      </c>
      <c r="L45" s="4" t="s">
        <v>443</v>
      </c>
    </row>
    <row r="46" spans="1:12" ht="62" customHeight="1" x14ac:dyDescent="0.45">
      <c r="A46" s="48" t="s">
        <v>208</v>
      </c>
      <c r="B46" s="48" t="s">
        <v>136</v>
      </c>
      <c r="C46" s="49">
        <f>IF(ISNUMBER(Wycena!C45),(SUMIFS(Składniki!$E$5:$E$155,Składniki!$D$5:$D$155,"marchew",Składniki!$B$5:$B$155,"Poniedziałek"))*Wycena!C45,"")</f>
        <v>2.875</v>
      </c>
      <c r="D46" s="49">
        <f>IF(ISNUMBER(Wycena!C46),(SUMIFS(Składniki!$E$5:$E$155,Składniki!$D$5:$D$155,"marchew",Składniki!$B$5:$B$155,"Wtorek"))*Wycena!C46,"")</f>
        <v>4.0250000000000004</v>
      </c>
      <c r="E46" s="49">
        <f>IF(ISNUMBER(Wycena!C47),(SUMIFS(Składniki!$E$5:$E$155,Składniki!$D$5:$D$155,"marchew",Składniki!$B$5:$B$155,"Środa"))*Wycena!C47,"")</f>
        <v>6.7849999999999993</v>
      </c>
      <c r="F46" s="49">
        <f>IF(ISNUMBER(Wycena!C48),(SUMIFS(Składniki!$E$5:$E$155,Składniki!$D$5:$D$155,"marchew",Składniki!$B$5:$B$155,"Czwartek"))*Wycena!C48,"")</f>
        <v>0</v>
      </c>
      <c r="G46" s="49">
        <f>IF(ISNUMBER(Wycena!C49),(SUMIFS(Składniki!$E$5:$E$155,Składniki!$D$5:$D$155,"marchew",Składniki!$B$5:$B$155,"Piątek"))*Wycena!C49,"")</f>
        <v>2.875</v>
      </c>
      <c r="H46" s="49">
        <f>IF(COUNT(Wycena!$C$45:$C$49)=5,SUM(C46:G46),"")</f>
        <v>16.559999999999999</v>
      </c>
      <c r="I46" s="49">
        <f t="shared" si="1"/>
        <v>0</v>
      </c>
      <c r="J46" s="49">
        <f t="shared" si="2"/>
        <v>16.559999999999999</v>
      </c>
      <c r="K46" s="48" t="s">
        <v>444</v>
      </c>
      <c r="L46" s="48" t="s">
        <v>445</v>
      </c>
    </row>
    <row r="47" spans="1:12" ht="62" customHeight="1" x14ac:dyDescent="0.45">
      <c r="A47" s="4" t="s">
        <v>446</v>
      </c>
      <c r="B47" s="4" t="s">
        <v>136</v>
      </c>
      <c r="C47" s="35">
        <f>IF(ISNUMBER(Wycena!C45),(SUMIFS(Składniki!$E$5:$E$155,Składniki!$D$5:$D$155,"ogórek",Składniki!$B$5:$B$155,"Poniedziałek"))*Wycena!C45,"")</f>
        <v>3.68</v>
      </c>
      <c r="D47" s="35">
        <f>IF(ISNUMBER(Wycena!C46),(SUMIFS(Składniki!$E$5:$E$155,Składniki!$D$5:$D$155,"ogórek",Składniki!$B$5:$B$155,"Wtorek"))*Wycena!C46,"")</f>
        <v>0</v>
      </c>
      <c r="E47" s="35">
        <f>IF(ISNUMBER(Wycena!C47),(SUMIFS(Składniki!$E$5:$E$155,Składniki!$D$5:$D$155,"ogórek",Składniki!$B$5:$B$155,"Środa"))*Wycena!C47,"")</f>
        <v>0</v>
      </c>
      <c r="F47" s="35">
        <f>IF(ISNUMBER(Wycena!C48),(SUMIFS(Składniki!$E$5:$E$155,Składniki!$D$5:$D$155,"ogórek",Składniki!$B$5:$B$155,"Czwartek"))*Wycena!C48,"")</f>
        <v>0</v>
      </c>
      <c r="G47" s="35">
        <f>IF(ISNUMBER(Wycena!C49),(SUMIFS(Składniki!$E$5:$E$155,Składniki!$D$5:$D$155,"ogórek",Składniki!$B$5:$B$155,"Piątek"))*Wycena!C49,"")</f>
        <v>1.7249999999999999</v>
      </c>
      <c r="H47" s="35">
        <f>IF(COUNT(Wycena!$C$45:$C$49)=5,SUM(C47:G47),"")</f>
        <v>5.4050000000000002</v>
      </c>
      <c r="I47" s="35">
        <f t="shared" si="1"/>
        <v>0</v>
      </c>
      <c r="J47" s="35">
        <f t="shared" si="2"/>
        <v>5.4050000000000002</v>
      </c>
      <c r="K47" s="4" t="s">
        <v>444</v>
      </c>
      <c r="L47" s="4" t="s">
        <v>447</v>
      </c>
    </row>
    <row r="48" spans="1:12" ht="62" customHeight="1" x14ac:dyDescent="0.45">
      <c r="A48" s="48" t="s">
        <v>448</v>
      </c>
      <c r="B48" s="48" t="s">
        <v>136</v>
      </c>
      <c r="C48" s="49">
        <f>IF(ISNUMBER(Wycena!C45),(SUMIFS(Składniki!$E$5:$E$155,Składniki!$D$5:$D$155,"papryka",Składniki!$B$5:$B$155,"Poniedziałek"))*Wycena!C45,"")</f>
        <v>3.4499999999999997</v>
      </c>
      <c r="D48" s="49">
        <f>IF(ISNUMBER(Wycena!C46),(SUMIFS(Składniki!$E$5:$E$155,Składniki!$D$5:$D$155,"papryka",Składniki!$B$5:$B$155,"Wtorek"))*Wycena!C46,"")</f>
        <v>0</v>
      </c>
      <c r="E48" s="49">
        <f>IF(ISNUMBER(Wycena!C47),(SUMIFS(Składniki!$E$5:$E$155,Składniki!$D$5:$D$155,"papryka",Składniki!$B$5:$B$155,"Środa"))*Wycena!C47,"")</f>
        <v>0</v>
      </c>
      <c r="F48" s="49">
        <f>IF(ISNUMBER(Wycena!C48),(SUMIFS(Składniki!$E$5:$E$155,Składniki!$D$5:$D$155,"papryka",Składniki!$B$5:$B$155,"Czwartek"))*Wycena!C48,"")</f>
        <v>0</v>
      </c>
      <c r="G48" s="49">
        <f>IF(ISNUMBER(Wycena!C49),(SUMIFS(Składniki!$E$5:$E$155,Składniki!$D$5:$D$155,"papryka",Składniki!$B$5:$B$155,"Piątek"))*Wycena!C49,"")</f>
        <v>0</v>
      </c>
      <c r="H48" s="49">
        <f>IF(COUNT(Wycena!$C$45:$C$49)=5,SUM(C48:G48),"")</f>
        <v>3.4499999999999997</v>
      </c>
      <c r="I48" s="49">
        <f t="shared" si="1"/>
        <v>0</v>
      </c>
      <c r="J48" s="49">
        <f t="shared" si="2"/>
        <v>3.45</v>
      </c>
      <c r="K48" s="48" t="s">
        <v>444</v>
      </c>
      <c r="L48" s="48" t="s">
        <v>449</v>
      </c>
    </row>
    <row r="49" spans="1:12" ht="62" customHeight="1" x14ac:dyDescent="0.45">
      <c r="A49" s="4" t="s">
        <v>450</v>
      </c>
      <c r="B49" s="4" t="s">
        <v>136</v>
      </c>
      <c r="C49" s="35">
        <f>IF(ISNUMBER(Wycena!C45),(SUMIFS(Składniki!$E$5:$E$155,Składniki!$D$5:$D$155,"pietruszka",Składniki!$B$5:$B$155,"Poniedziałek"))*Wycena!C45,"")</f>
        <v>1.1500000000000001</v>
      </c>
      <c r="D49" s="35">
        <f>IF(ISNUMBER(Wycena!C46),(SUMIFS(Składniki!$E$5:$E$155,Składniki!$D$5:$D$155,"pietruszka",Składniki!$B$5:$B$155,"Wtorek"))*Wycena!C46,"")</f>
        <v>1.1500000000000001</v>
      </c>
      <c r="E49" s="35">
        <f>IF(ISNUMBER(Wycena!C47),(SUMIFS(Składniki!$E$5:$E$155,Składniki!$D$5:$D$155,"pietruszka",Składniki!$B$5:$B$155,"Środa"))*Wycena!C47,"")</f>
        <v>1.1500000000000001</v>
      </c>
      <c r="F49" s="35">
        <f>IF(ISNUMBER(Wycena!C48),(SUMIFS(Składniki!$E$5:$E$155,Składniki!$D$5:$D$155,"pietruszka",Składniki!$B$5:$B$155,"Czwartek"))*Wycena!C48,"")</f>
        <v>0</v>
      </c>
      <c r="G49" s="35">
        <f>IF(ISNUMBER(Wycena!C49),(SUMIFS(Składniki!$E$5:$E$155,Składniki!$D$5:$D$155,"pietruszka",Składniki!$B$5:$B$155,"Piątek"))*Wycena!C49,"")</f>
        <v>1.1500000000000001</v>
      </c>
      <c r="H49" s="35">
        <f>IF(COUNT(Wycena!$C$45:$C$49)=5,SUM(C49:G49),"")</f>
        <v>4.6000000000000005</v>
      </c>
      <c r="I49" s="35">
        <f t="shared" si="1"/>
        <v>0</v>
      </c>
      <c r="J49" s="35">
        <f t="shared" si="2"/>
        <v>4.5999999999999996</v>
      </c>
      <c r="K49" s="4" t="s">
        <v>444</v>
      </c>
      <c r="L49" s="4" t="s">
        <v>451</v>
      </c>
    </row>
    <row r="50" spans="1:12" ht="62" customHeight="1" x14ac:dyDescent="0.45">
      <c r="A50" s="48" t="s">
        <v>452</v>
      </c>
      <c r="B50" s="48" t="s">
        <v>136</v>
      </c>
      <c r="C50" s="49">
        <f>IF(ISNUMBER(Wycena!C45),(SUMIFS(Składniki!$E$5:$E$155,Składniki!$D$5:$D$155,"seler",Składniki!$B$5:$B$155,"Poniedziałek"))*Wycena!C45,"")</f>
        <v>0.57500000000000007</v>
      </c>
      <c r="D50" s="49">
        <f>IF(ISNUMBER(Wycena!C46),(SUMIFS(Składniki!$E$5:$E$155,Składniki!$D$5:$D$155,"seler",Składniki!$B$5:$B$155,"Wtorek"))*Wycena!C46,"")</f>
        <v>0.57500000000000007</v>
      </c>
      <c r="E50" s="49">
        <f>IF(ISNUMBER(Wycena!C47),(SUMIFS(Składniki!$E$5:$E$155,Składniki!$D$5:$D$155,"seler",Składniki!$B$5:$B$155,"Środa"))*Wycena!C47,"")</f>
        <v>0.57500000000000007</v>
      </c>
      <c r="F50" s="49">
        <f>IF(ISNUMBER(Wycena!C48),(SUMIFS(Składniki!$E$5:$E$155,Składniki!$D$5:$D$155,"seler",Składniki!$B$5:$B$155,"Czwartek"))*Wycena!C48,"")</f>
        <v>0</v>
      </c>
      <c r="G50" s="49">
        <f>IF(ISNUMBER(Wycena!C49),(SUMIFS(Składniki!$E$5:$E$155,Składniki!$D$5:$D$155,"seler",Składniki!$B$5:$B$155,"Piątek"))*Wycena!C49,"")</f>
        <v>0.57500000000000007</v>
      </c>
      <c r="H50" s="49">
        <f>IF(COUNT(Wycena!$C$45:$C$49)=5,SUM(C50:G50),"")</f>
        <v>2.3000000000000003</v>
      </c>
      <c r="I50" s="49">
        <f t="shared" si="1"/>
        <v>0</v>
      </c>
      <c r="J50" s="49">
        <f t="shared" si="2"/>
        <v>2.2999999999999998</v>
      </c>
      <c r="K50" s="48" t="s">
        <v>444</v>
      </c>
      <c r="L50" s="48" t="s">
        <v>451</v>
      </c>
    </row>
    <row r="51" spans="1:12" ht="62" customHeight="1" x14ac:dyDescent="0.45">
      <c r="A51" s="4" t="s">
        <v>213</v>
      </c>
      <c r="B51" s="4" t="s">
        <v>136</v>
      </c>
      <c r="C51" s="35">
        <f>IF(ISNUMBER(Wycena!C45),(SUMIFS(Składniki!$E$5:$E$155,Składniki!$D$5:$D$155,"cebula",Składniki!$B$5:$B$155,"Poniedziałek"))*Wycena!C45,"")</f>
        <v>0</v>
      </c>
      <c r="D51" s="35">
        <f>IF(ISNUMBER(Wycena!C46),(SUMIFS(Składniki!$E$5:$E$155,Składniki!$D$5:$D$155,"cebula",Składniki!$B$5:$B$155,"Wtorek"))*Wycena!C46,"")</f>
        <v>0.57500000000000007</v>
      </c>
      <c r="E51" s="35">
        <f>IF(ISNUMBER(Wycena!C47),(SUMIFS(Składniki!$E$5:$E$155,Składniki!$D$5:$D$155,"cebula",Składniki!$B$5:$B$155,"Środa"))*Wycena!C47,"")</f>
        <v>0</v>
      </c>
      <c r="F51" s="35">
        <f>IF(ISNUMBER(Wycena!C48),(SUMIFS(Składniki!$E$5:$E$155,Składniki!$D$5:$D$155,"cebula",Składniki!$B$5:$B$155,"Czwartek"))*Wycena!C48,"")</f>
        <v>0</v>
      </c>
      <c r="G51" s="35">
        <f>IF(ISNUMBER(Wycena!C49),(SUMIFS(Składniki!$E$5:$E$155,Składniki!$D$5:$D$155,"cebula",Składniki!$B$5:$B$155,"Piątek"))*Wycena!C49,"")</f>
        <v>0</v>
      </c>
      <c r="H51" s="35">
        <f>IF(COUNT(Wycena!$C$45:$C$49)=5,SUM(C51:G51),"")</f>
        <v>0.57500000000000007</v>
      </c>
      <c r="I51" s="35">
        <f t="shared" si="1"/>
        <v>0</v>
      </c>
      <c r="J51" s="35">
        <f t="shared" si="2"/>
        <v>0.57499999999999996</v>
      </c>
      <c r="K51" s="4" t="s">
        <v>444</v>
      </c>
      <c r="L51" s="4" t="s">
        <v>453</v>
      </c>
    </row>
    <row r="52" spans="1:12" ht="62" customHeight="1" x14ac:dyDescent="0.45">
      <c r="A52" s="48" t="s">
        <v>454</v>
      </c>
      <c r="B52" s="48" t="s">
        <v>136</v>
      </c>
      <c r="C52" s="49">
        <f>IF(ISNUMBER(Wycena!C45),(SUMIFS(Składniki!$E$5:$E$155,Składniki!$D$5:$D$155,"rzodkiew",Składniki!$B$5:$B$155,"Poniedziałek"))*Wycena!C45,"")</f>
        <v>0</v>
      </c>
      <c r="D52" s="49">
        <f>IF(ISNUMBER(Wycena!C46),(SUMIFS(Składniki!$E$5:$E$155,Składniki!$D$5:$D$155,"rzodkiew",Składniki!$B$5:$B$155,"Wtorek"))*Wycena!C46,"")</f>
        <v>0</v>
      </c>
      <c r="E52" s="49">
        <f>IF(ISNUMBER(Wycena!C47),(SUMIFS(Składniki!$E$5:$E$155,Składniki!$D$5:$D$155,"rzodkiew",Składniki!$B$5:$B$155,"Środa"))*Wycena!C47,"")</f>
        <v>0</v>
      </c>
      <c r="F52" s="49">
        <f>IF(ISNUMBER(Wycena!C48),(SUMIFS(Składniki!$E$5:$E$155,Składniki!$D$5:$D$155,"rzodkiew",Składniki!$B$5:$B$155,"Czwartek"))*Wycena!C48,"")</f>
        <v>0</v>
      </c>
      <c r="G52" s="49">
        <f>IF(ISNUMBER(Wycena!C49),(SUMIFS(Składniki!$E$5:$E$155,Składniki!$D$5:$D$155,"rzodkiew",Składniki!$B$5:$B$155,"Piątek"))*Wycena!C49,"")</f>
        <v>3.4499999999999997</v>
      </c>
      <c r="H52" s="49">
        <f>IF(COUNT(Wycena!$C$45:$C$49)=5,SUM(C52:G52),"")</f>
        <v>3.4499999999999997</v>
      </c>
      <c r="I52" s="49">
        <f t="shared" si="1"/>
        <v>0</v>
      </c>
      <c r="J52" s="49">
        <f t="shared" si="2"/>
        <v>3.45</v>
      </c>
      <c r="K52" s="48" t="s">
        <v>444</v>
      </c>
      <c r="L52" s="48" t="s">
        <v>455</v>
      </c>
    </row>
    <row r="53" spans="1:12" ht="62" customHeight="1" x14ac:dyDescent="0.45">
      <c r="A53" s="4" t="s">
        <v>456</v>
      </c>
      <c r="B53" s="4" t="s">
        <v>136</v>
      </c>
      <c r="C53" s="35">
        <f>IF(ISNUMBER(Wycena!C45),(SUMIFS(Składniki!$E$5:$E$155,Składniki!$D$5:$D$155,"banan",Składniki!$B$5:$B$155,"Poniedziałek"))*Wycena!C45,"")</f>
        <v>0</v>
      </c>
      <c r="D53" s="35">
        <f>IF(ISNUMBER(Wycena!C46),(SUMIFS(Składniki!$E$5:$E$155,Składniki!$D$5:$D$155,"banan",Składniki!$B$5:$B$155,"Wtorek"))*Wycena!C46,"")</f>
        <v>8.6250000000000018</v>
      </c>
      <c r="E53" s="35">
        <f>IF(ISNUMBER(Wycena!C47),(SUMIFS(Składniki!$E$5:$E$155,Składniki!$D$5:$D$155,"banan",Składniki!$B$5:$B$155,"Środa"))*Wycena!C47,"")</f>
        <v>0</v>
      </c>
      <c r="F53" s="35">
        <f>IF(ISNUMBER(Wycena!C48),(SUMIFS(Składniki!$E$5:$E$155,Składniki!$D$5:$D$155,"banan",Składniki!$B$5:$B$155,"Czwartek"))*Wycena!C48,"")</f>
        <v>0</v>
      </c>
      <c r="G53" s="35">
        <f>IF(ISNUMBER(Wycena!C49),(SUMIFS(Składniki!$E$5:$E$155,Składniki!$D$5:$D$155,"banan",Składniki!$B$5:$B$155,"Piątek"))*Wycena!C49,"")</f>
        <v>0</v>
      </c>
      <c r="H53" s="35">
        <f>IF(COUNT(Wycena!$C$45:$C$49)=5,SUM(C53:G53),"")</f>
        <v>8.6250000000000018</v>
      </c>
      <c r="I53" s="35">
        <f t="shared" si="1"/>
        <v>0</v>
      </c>
      <c r="J53" s="35">
        <f t="shared" si="2"/>
        <v>8.625</v>
      </c>
      <c r="K53" s="4" t="s">
        <v>136</v>
      </c>
      <c r="L53" s="4" t="s">
        <v>457</v>
      </c>
    </row>
    <row r="54" spans="1:12" ht="62" customHeight="1" x14ac:dyDescent="0.45">
      <c r="A54" s="48" t="s">
        <v>458</v>
      </c>
      <c r="B54" s="48" t="s">
        <v>136</v>
      </c>
      <c r="C54" s="49">
        <f>IF(ISNUMBER(Wycena!C45),(SUMIFS(Składniki!$E$5:$E$155,Składniki!$D$5:$D$155,"mandarynka",Składniki!$B$5:$B$155,"Poniedziałek"))*Wycena!C45,"")</f>
        <v>0</v>
      </c>
      <c r="D54" s="49">
        <f>IF(ISNUMBER(Wycena!C46),(SUMIFS(Składniki!$E$5:$E$155,Składniki!$D$5:$D$155,"mandarynka",Składniki!$B$5:$B$155,"Wtorek"))*Wycena!C46,"")</f>
        <v>0</v>
      </c>
      <c r="E54" s="49">
        <f>IF(ISNUMBER(Wycena!C47),(SUMIFS(Składniki!$E$5:$E$155,Składniki!$D$5:$D$155,"mandarynka",Składniki!$B$5:$B$155,"Środa"))*Wycena!C47,"")</f>
        <v>0</v>
      </c>
      <c r="F54" s="49">
        <f>IF(ISNUMBER(Wycena!C48),(SUMIFS(Składniki!$E$5:$E$155,Składniki!$D$5:$D$155,"mandarynka",Składniki!$B$5:$B$155,"Czwartek"))*Wycena!C48,"")</f>
        <v>11.5</v>
      </c>
      <c r="G54" s="49">
        <f>IF(ISNUMBER(Wycena!C49),(SUMIFS(Składniki!$E$5:$E$155,Składniki!$D$5:$D$155,"mandarynka",Składniki!$B$5:$B$155,"Piątek"))*Wycena!C49,"")</f>
        <v>0</v>
      </c>
      <c r="H54" s="49">
        <f>IF(COUNT(Wycena!$C$45:$C$49)=5,SUM(C54:G54),"")</f>
        <v>11.5</v>
      </c>
      <c r="I54" s="49">
        <f t="shared" si="1"/>
        <v>0</v>
      </c>
      <c r="J54" s="50">
        <f>IF(ISNUMBER(H54),ROUNDUP(ROUND((H54+I54)/0.1,9),0),"")</f>
        <v>115</v>
      </c>
      <c r="K54" s="48" t="s">
        <v>134</v>
      </c>
      <c r="L54" s="48" t="s">
        <v>459</v>
      </c>
    </row>
    <row r="55" spans="1:12" ht="62" customHeight="1" x14ac:dyDescent="0.45">
      <c r="A55" s="4" t="s">
        <v>195</v>
      </c>
      <c r="B55" s="4" t="s">
        <v>460</v>
      </c>
      <c r="C55" s="35">
        <f>IF(ISNUMBER(Wycena!C45),(SUMIFS(Składniki!$E$5:$E$155,Składniki!$D$5:$D$155,"brzoskwinie puszka",Składniki!$B$5:$B$155,"Poniedziałek"))*Wycena!C45,"")</f>
        <v>0</v>
      </c>
      <c r="D55" s="35">
        <f>IF(ISNUMBER(Wycena!C46),(SUMIFS(Składniki!$E$5:$E$155,Składniki!$D$5:$D$155,"brzoskwinie puszka",Składniki!$B$5:$B$155,"Wtorek"))*Wycena!C46,"")</f>
        <v>0</v>
      </c>
      <c r="E55" s="35">
        <f>IF(ISNUMBER(Wycena!C47),(SUMIFS(Składniki!$E$5:$E$155,Składniki!$D$5:$D$155,"brzoskwinie puszka",Składniki!$B$5:$B$155,"Środa"))*Wycena!C47,"")</f>
        <v>0</v>
      </c>
      <c r="F55" s="35">
        <f>IF(ISNUMBER(Wycena!C48),(SUMIFS(Składniki!$E$5:$E$155,Składniki!$D$5:$D$155,"brzoskwinie puszka",Składniki!$B$5:$B$155,"Czwartek"))*Wycena!C48,"")</f>
        <v>0</v>
      </c>
      <c r="G55" s="35">
        <f>IF(ISNUMBER(Wycena!C49),(SUMIFS(Składniki!$E$5:$E$155,Składniki!$D$5:$D$155,"brzoskwinie puszka",Składniki!$B$5:$B$155,"Piątek"))*Wycena!C49,"")</f>
        <v>7.3404255319148932</v>
      </c>
      <c r="H55" s="35">
        <f>IF(COUNT(Wycena!$C$45:$C$49)=5,SUM(C55:G55),"")</f>
        <v>7.3404255319148932</v>
      </c>
      <c r="I55" s="35">
        <f t="shared" si="1"/>
        <v>0</v>
      </c>
      <c r="J55" s="30">
        <f>IF(ISNUMBER(H55),ROUNDUP(ROUND((H55+I55)/1,9),0),"")</f>
        <v>8</v>
      </c>
      <c r="K55" s="4" t="s">
        <v>461</v>
      </c>
      <c r="L55" s="4" t="s">
        <v>462</v>
      </c>
    </row>
    <row r="56" spans="1:12" x14ac:dyDescent="0.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32" customHeight="1" x14ac:dyDescent="0.45">
      <c r="A57" s="80" t="s">
        <v>463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</row>
    <row r="58" spans="1:12" ht="28.05" customHeight="1" x14ac:dyDescent="0.45">
      <c r="A58" s="3" t="s">
        <v>464</v>
      </c>
      <c r="B58" s="3" t="s">
        <v>465</v>
      </c>
      <c r="C58" s="3"/>
      <c r="D58" s="3"/>
      <c r="E58" s="3"/>
      <c r="F58" s="3"/>
      <c r="G58" s="3"/>
      <c r="H58" s="14">
        <f>D31</f>
        <v>5.5200000000000005</v>
      </c>
      <c r="I58" s="3"/>
      <c r="J58" s="3"/>
      <c r="K58" s="3"/>
      <c r="L58" s="3"/>
    </row>
    <row r="59" spans="1:12" ht="28.05" customHeight="1" x14ac:dyDescent="0.45">
      <c r="A59" s="3" t="s">
        <v>466</v>
      </c>
      <c r="B59" s="3" t="s">
        <v>465</v>
      </c>
      <c r="C59" s="3"/>
      <c r="D59" s="3"/>
      <c r="E59" s="3"/>
      <c r="F59" s="3"/>
      <c r="G59" s="3"/>
      <c r="H59" s="14">
        <f>E31</f>
        <v>4.6000000000000005</v>
      </c>
      <c r="I59" s="3"/>
      <c r="J59" s="3"/>
      <c r="K59" s="3"/>
      <c r="L59" s="3"/>
    </row>
    <row r="60" spans="1:12" ht="28.05" customHeight="1" x14ac:dyDescent="0.45">
      <c r="A60" s="3" t="s">
        <v>467</v>
      </c>
      <c r="B60" s="3" t="s">
        <v>465</v>
      </c>
      <c r="C60" s="3"/>
      <c r="D60" s="3"/>
      <c r="E60" s="3"/>
      <c r="F60" s="3"/>
      <c r="G60" s="3"/>
      <c r="H60" s="14">
        <f>G31</f>
        <v>4.6000000000000005</v>
      </c>
      <c r="I60" s="3"/>
      <c r="J60" s="3"/>
      <c r="K60" s="3"/>
      <c r="L60" s="3"/>
    </row>
    <row r="61" spans="1:12" x14ac:dyDescent="0.4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30" customHeight="1" x14ac:dyDescent="0.45">
      <c r="A62" s="80" t="s">
        <v>468</v>
      </c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</row>
    <row r="63" spans="1:12" ht="48" customHeight="1" x14ac:dyDescent="0.45">
      <c r="A63" s="66" t="s">
        <v>469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</row>
    <row r="64" spans="1:12" ht="44" customHeight="1" x14ac:dyDescent="0.45">
      <c r="A64" s="66" t="s">
        <v>470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</row>
    <row r="65" spans="1:12" ht="42" customHeight="1" x14ac:dyDescent="0.45">
      <c r="A65" s="66" t="s">
        <v>471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</row>
    <row r="66" spans="1:12" x14ac:dyDescent="0.4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4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mergeCells count="8">
    <mergeCell ref="A63:L63"/>
    <mergeCell ref="A64:L64"/>
    <mergeCell ref="A65:L65"/>
    <mergeCell ref="A1:L1"/>
    <mergeCell ref="A2:L2"/>
    <mergeCell ref="C4:L4"/>
    <mergeCell ref="A57:L57"/>
    <mergeCell ref="A62:L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showGridLines="0" workbookViewId="0"/>
  </sheetViews>
  <sheetFormatPr defaultRowHeight="14.25" x14ac:dyDescent="0.45"/>
  <cols>
    <col min="1" max="1" width="30" customWidth="1"/>
    <col min="2" max="3" width="78" customWidth="1"/>
  </cols>
  <sheetData>
    <row r="1" spans="1:3" ht="18" x14ac:dyDescent="0.55000000000000004">
      <c r="A1" s="58" t="s">
        <v>472</v>
      </c>
      <c r="B1" s="57"/>
      <c r="C1" s="57"/>
    </row>
    <row r="2" spans="1:3" x14ac:dyDescent="0.45">
      <c r="A2" s="57"/>
      <c r="B2" s="57"/>
      <c r="C2" s="57"/>
    </row>
    <row r="3" spans="1:3" ht="26" customHeight="1" x14ac:dyDescent="0.45">
      <c r="A3" s="60" t="s">
        <v>473</v>
      </c>
      <c r="B3" s="60" t="s">
        <v>474</v>
      </c>
      <c r="C3" s="60" t="s">
        <v>475</v>
      </c>
    </row>
    <row r="4" spans="1:3" ht="90" customHeight="1" x14ac:dyDescent="0.45">
      <c r="A4" s="59" t="s">
        <v>476</v>
      </c>
      <c r="B4" s="59" t="s">
        <v>477</v>
      </c>
      <c r="C4" s="61" t="s">
        <v>478</v>
      </c>
    </row>
    <row r="5" spans="1:3" ht="90" customHeight="1" x14ac:dyDescent="0.45">
      <c r="A5" s="59" t="s">
        <v>479</v>
      </c>
      <c r="B5" s="59" t="s">
        <v>480</v>
      </c>
      <c r="C5" s="61" t="s">
        <v>481</v>
      </c>
    </row>
    <row r="6" spans="1:3" ht="90" customHeight="1" x14ac:dyDescent="0.45">
      <c r="A6" s="59" t="s">
        <v>482</v>
      </c>
      <c r="B6" s="59" t="s">
        <v>483</v>
      </c>
      <c r="C6" s="61" t="s">
        <v>484</v>
      </c>
    </row>
    <row r="7" spans="1:3" ht="90" customHeight="1" x14ac:dyDescent="0.45">
      <c r="A7" s="59" t="s">
        <v>485</v>
      </c>
      <c r="B7" s="59" t="s">
        <v>486</v>
      </c>
      <c r="C7" s="61" t="s">
        <v>487</v>
      </c>
    </row>
    <row r="8" spans="1:3" ht="90" customHeight="1" x14ac:dyDescent="0.45">
      <c r="A8" s="59" t="s">
        <v>488</v>
      </c>
      <c r="B8" s="59" t="s">
        <v>489</v>
      </c>
      <c r="C8" s="61" t="s">
        <v>490</v>
      </c>
    </row>
    <row r="9" spans="1:3" ht="90" customHeight="1" x14ac:dyDescent="0.45">
      <c r="A9" s="59" t="s">
        <v>491</v>
      </c>
      <c r="B9" s="59" t="s">
        <v>492</v>
      </c>
      <c r="C9" s="61" t="s">
        <v>493</v>
      </c>
    </row>
    <row r="10" spans="1:3" ht="90" customHeight="1" x14ac:dyDescent="0.45">
      <c r="A10" s="59" t="s">
        <v>494</v>
      </c>
      <c r="B10" s="59" t="s">
        <v>495</v>
      </c>
      <c r="C10" s="61" t="s">
        <v>496</v>
      </c>
    </row>
    <row r="11" spans="1:3" ht="90" customHeight="1" x14ac:dyDescent="0.45">
      <c r="A11" s="59" t="s">
        <v>497</v>
      </c>
      <c r="B11" s="59" t="s">
        <v>498</v>
      </c>
      <c r="C11" s="61" t="s">
        <v>499</v>
      </c>
    </row>
    <row r="12" spans="1:3" ht="90" customHeight="1" x14ac:dyDescent="0.45">
      <c r="A12" s="59" t="s">
        <v>500</v>
      </c>
      <c r="B12" s="59" t="s">
        <v>501</v>
      </c>
      <c r="C12" s="61" t="s">
        <v>502</v>
      </c>
    </row>
    <row r="13" spans="1:3" x14ac:dyDescent="0.45">
      <c r="A13" s="57"/>
      <c r="B13" s="57"/>
      <c r="C13" s="57"/>
    </row>
    <row r="14" spans="1:3" x14ac:dyDescent="0.45">
      <c r="A14" s="57" t="s">
        <v>503</v>
      </c>
      <c r="B14" s="57"/>
      <c r="C14" s="57"/>
    </row>
    <row r="15" spans="1:3" x14ac:dyDescent="0.45">
      <c r="A15" s="57" t="s">
        <v>504</v>
      </c>
      <c r="B15" s="57"/>
      <c r="C15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Jadłospis</vt:lpstr>
      <vt:lpstr>Wycena</vt:lpstr>
      <vt:lpstr>Składniki</vt:lpstr>
      <vt:lpstr>Receptura naleśników</vt:lpstr>
      <vt:lpstr>Lista zakupów</vt:lpstr>
      <vt:lpstr>Kontrola składów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Paradowski</cp:lastModifiedBy>
  <cp:lastPrinted>2026-11-01T07:59:35Z</cp:lastPrinted>
  <dcterms:modified xsi:type="dcterms:W3CDTF">2026-11-01T08:01:20Z</dcterms:modified>
</cp:coreProperties>
</file>